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0" windowWidth="16380" windowHeight="7590" activeTab="6"/>
  </bookViews>
  <sheets>
    <sheet name="Post-1 Tables" sheetId="2" r:id="rId1"/>
    <sheet name="Crankshaft History" sheetId="3" r:id="rId2"/>
    <sheet name="Crank-Main" sheetId="11" r:id="rId3"/>
    <sheet name="Rod Journals" sheetId="6" r:id="rId4"/>
    <sheet name="Connecting Rod Dimensions" sheetId="17" r:id="rId5"/>
    <sheet name="Virgin 439_440" sheetId="12" r:id="rId6"/>
    <sheet name="BEB SP1534HK" sheetId="18" r:id="rId7"/>
    <sheet name="Rod Bearing History" sheetId="7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B72" i="2" l="1"/>
  <c r="B71" i="2"/>
  <c r="C72" i="2"/>
  <c r="C71" i="2"/>
  <c r="C70" i="2"/>
  <c r="B70" i="2"/>
  <c r="C69" i="2"/>
  <c r="C68" i="2"/>
  <c r="C67" i="2"/>
  <c r="B67" i="2"/>
  <c r="B66" i="2"/>
  <c r="B65" i="2"/>
  <c r="B64" i="2"/>
  <c r="B63" i="2"/>
  <c r="C66" i="2"/>
  <c r="C65" i="2"/>
  <c r="C64" i="2"/>
  <c r="C63" i="2"/>
  <c r="C45" i="2"/>
  <c r="B60" i="2"/>
  <c r="C60" i="2"/>
  <c r="B59" i="2"/>
  <c r="C59" i="2"/>
  <c r="B58" i="2"/>
  <c r="C58" i="2"/>
  <c r="J12" i="18"/>
  <c r="I12" i="18"/>
  <c r="Q22" i="18"/>
  <c r="L20" i="18"/>
  <c r="K20" i="18"/>
  <c r="J20" i="18"/>
  <c r="I20" i="18"/>
  <c r="H20" i="18"/>
  <c r="G20" i="18"/>
  <c r="F20" i="18"/>
  <c r="E20" i="18"/>
  <c r="D20" i="18"/>
  <c r="C51" i="2" l="1"/>
  <c r="C50" i="2"/>
  <c r="H15" i="18"/>
  <c r="G15" i="18"/>
  <c r="F15" i="18"/>
  <c r="E15" i="18"/>
  <c r="D15" i="18"/>
  <c r="C15" i="18"/>
  <c r="J17" i="18" s="1"/>
  <c r="H14" i="18"/>
  <c r="G14" i="18"/>
  <c r="F14" i="18"/>
  <c r="E14" i="18"/>
  <c r="D14" i="18"/>
  <c r="C14" i="18"/>
  <c r="H13" i="18"/>
  <c r="G13" i="18"/>
  <c r="F13" i="18"/>
  <c r="E13" i="18"/>
  <c r="D13" i="18"/>
  <c r="C13" i="18"/>
  <c r="B24" i="2"/>
  <c r="B23" i="2"/>
  <c r="B22" i="2"/>
  <c r="C23" i="2"/>
  <c r="C22" i="2"/>
  <c r="C24" i="2"/>
  <c r="K17" i="12"/>
  <c r="K14" i="12"/>
  <c r="K5" i="12"/>
  <c r="K4" i="12"/>
  <c r="J16" i="12"/>
  <c r="I15" i="12"/>
  <c r="J18" i="12"/>
  <c r="I18" i="12"/>
  <c r="D14" i="12"/>
  <c r="E14" i="12"/>
  <c r="F14" i="12"/>
  <c r="G14" i="12"/>
  <c r="H14" i="12"/>
  <c r="D15" i="12"/>
  <c r="E15" i="12"/>
  <c r="F15" i="12"/>
  <c r="G15" i="12"/>
  <c r="H15" i="12"/>
  <c r="D16" i="12"/>
  <c r="E16" i="12"/>
  <c r="F16" i="12"/>
  <c r="G16" i="12"/>
  <c r="H16" i="12"/>
  <c r="C16" i="12"/>
  <c r="C15" i="12"/>
  <c r="C14" i="12"/>
  <c r="E3" i="6"/>
  <c r="G3" i="6" s="1"/>
  <c r="E4" i="6"/>
  <c r="F4" i="6"/>
  <c r="F3" i="6"/>
  <c r="D4" i="6"/>
  <c r="D2" i="6"/>
  <c r="D3" i="6"/>
  <c r="H4" i="6"/>
  <c r="F2" i="6"/>
  <c r="C17" i="2"/>
  <c r="B17" i="2"/>
  <c r="C16" i="2"/>
  <c r="B16" i="2"/>
  <c r="C15" i="2"/>
  <c r="B15" i="2"/>
  <c r="B14" i="2"/>
  <c r="C14" i="2"/>
  <c r="B13" i="2"/>
  <c r="B12" i="2"/>
  <c r="C12" i="2"/>
  <c r="C13" i="2"/>
  <c r="G4" i="6"/>
  <c r="E2" i="6"/>
  <c r="H2" i="6" s="1"/>
  <c r="E4" i="11"/>
  <c r="G4" i="11" s="1"/>
  <c r="D4" i="11"/>
  <c r="C4" i="11"/>
  <c r="F4" i="11" s="1"/>
  <c r="E3" i="11"/>
  <c r="G3" i="11" s="1"/>
  <c r="D3" i="11"/>
  <c r="F3" i="11" s="1"/>
  <c r="C3" i="11"/>
  <c r="D2" i="11"/>
  <c r="G2" i="11" s="1"/>
  <c r="U2" i="11"/>
  <c r="U4" i="11"/>
  <c r="X2" i="11"/>
  <c r="W2" i="11"/>
  <c r="I14" i="18" l="1"/>
  <c r="I16" i="18" s="1"/>
  <c r="I13" i="18"/>
  <c r="J15" i="18"/>
  <c r="J16" i="18" s="1"/>
  <c r="K16" i="18" s="1"/>
  <c r="L16" i="18" s="1"/>
  <c r="J13" i="18"/>
  <c r="I17" i="18"/>
  <c r="K17" i="18" s="1"/>
  <c r="L17" i="18" s="1"/>
  <c r="K13" i="18"/>
  <c r="H3" i="6"/>
  <c r="G2" i="6"/>
  <c r="V3" i="11"/>
  <c r="T4" i="11"/>
  <c r="W4" i="11" s="1"/>
  <c r="V4" i="11"/>
  <c r="X4" i="11" s="1"/>
  <c r="U3" i="11"/>
  <c r="T3" i="11"/>
  <c r="F2" i="11"/>
  <c r="M13" i="18" l="1"/>
  <c r="L13" i="18"/>
  <c r="M16" i="18"/>
  <c r="M17" i="18"/>
  <c r="W3" i="11"/>
  <c r="X3" i="11"/>
  <c r="K7" i="18" l="1"/>
  <c r="K7" i="12"/>
  <c r="K12" i="18"/>
  <c r="K11" i="18"/>
  <c r="T10" i="18"/>
  <c r="S10" i="18"/>
  <c r="R10" i="18"/>
  <c r="Q10" i="18"/>
  <c r="P10" i="18"/>
  <c r="O10" i="18"/>
  <c r="K10" i="18"/>
  <c r="J10" i="18"/>
  <c r="I10" i="18"/>
  <c r="T9" i="18"/>
  <c r="S9" i="18"/>
  <c r="R9" i="18"/>
  <c r="Q9" i="18"/>
  <c r="P9" i="18"/>
  <c r="O9" i="18"/>
  <c r="K9" i="18"/>
  <c r="J9" i="18"/>
  <c r="I9" i="18"/>
  <c r="T8" i="18"/>
  <c r="S8" i="18"/>
  <c r="R8" i="18"/>
  <c r="Q8" i="18"/>
  <c r="P8" i="18"/>
  <c r="O8" i="18"/>
  <c r="K8" i="18"/>
  <c r="J8" i="18"/>
  <c r="I8" i="18"/>
  <c r="T7" i="18"/>
  <c r="S7" i="18"/>
  <c r="R7" i="18"/>
  <c r="Q7" i="18"/>
  <c r="P7" i="18"/>
  <c r="O7" i="18"/>
  <c r="J7" i="18"/>
  <c r="I7" i="18"/>
  <c r="T6" i="18"/>
  <c r="S6" i="18"/>
  <c r="R6" i="18"/>
  <c r="Q6" i="18"/>
  <c r="P6" i="18"/>
  <c r="O6" i="18"/>
  <c r="K6" i="18"/>
  <c r="J6" i="18"/>
  <c r="I6" i="18"/>
  <c r="T5" i="18"/>
  <c r="S5" i="18"/>
  <c r="R5" i="18"/>
  <c r="Q5" i="18"/>
  <c r="P5" i="18"/>
  <c r="O5" i="18"/>
  <c r="K5" i="18"/>
  <c r="J5" i="18"/>
  <c r="I5" i="18"/>
  <c r="T4" i="18"/>
  <c r="S4" i="18"/>
  <c r="R4" i="18"/>
  <c r="Q4" i="18"/>
  <c r="P4" i="18"/>
  <c r="O4" i="18"/>
  <c r="K4" i="18"/>
  <c r="J4" i="18"/>
  <c r="I4" i="18"/>
  <c r="M12" i="18" l="1"/>
  <c r="L12" i="18"/>
  <c r="V8" i="18"/>
  <c r="U4" i="18"/>
  <c r="M7" i="18"/>
  <c r="U6" i="18"/>
  <c r="U10" i="18"/>
  <c r="M5" i="18"/>
  <c r="L10" i="18"/>
  <c r="M9" i="18"/>
  <c r="L7" i="18"/>
  <c r="L5" i="18"/>
  <c r="V4" i="18"/>
  <c r="U12" i="18"/>
  <c r="L4" i="18"/>
  <c r="M6" i="18"/>
  <c r="V7" i="18"/>
  <c r="U8" i="18"/>
  <c r="L9" i="18"/>
  <c r="M10" i="18"/>
  <c r="W10" i="18"/>
  <c r="W4" i="18"/>
  <c r="X4" i="18" s="1"/>
  <c r="W6" i="18"/>
  <c r="X6" i="18" s="1"/>
  <c r="M8" i="18"/>
  <c r="W8" i="18"/>
  <c r="L8" i="18"/>
  <c r="V9" i="18"/>
  <c r="M4" i="18"/>
  <c r="W5" i="18"/>
  <c r="W7" i="18"/>
  <c r="W9" i="18"/>
  <c r="V12" i="18"/>
  <c r="V6" i="18"/>
  <c r="V10" i="18"/>
  <c r="W12" i="18"/>
  <c r="U7" i="18"/>
  <c r="U9" i="18"/>
  <c r="U5" i="18"/>
  <c r="L6" i="18"/>
  <c r="V5" i="18"/>
  <c r="K11" i="12"/>
  <c r="B36" i="2" s="1"/>
  <c r="K13" i="12"/>
  <c r="K12" i="12"/>
  <c r="Y8" i="18" l="1"/>
  <c r="Y7" i="18"/>
  <c r="Y10" i="18"/>
  <c r="X10" i="18"/>
  <c r="X8" i="18"/>
  <c r="Y6" i="18"/>
  <c r="X5" i="18"/>
  <c r="X12" i="18"/>
  <c r="Y4" i="18"/>
  <c r="X7" i="18"/>
  <c r="Y5" i="18"/>
  <c r="Y9" i="18"/>
  <c r="X9" i="18"/>
  <c r="Y12" i="18"/>
  <c r="C36" i="2"/>
  <c r="B48" i="2" l="1"/>
  <c r="C48" i="2"/>
  <c r="K18" i="12"/>
  <c r="L18" i="12" l="1"/>
  <c r="B47" i="2"/>
  <c r="M18" i="12"/>
  <c r="C49" i="2" s="1"/>
  <c r="C47" i="2"/>
  <c r="B49" i="2" l="1"/>
  <c r="J17" i="12"/>
  <c r="I17" i="12"/>
  <c r="M17" i="12" l="1"/>
  <c r="L17" i="12" l="1"/>
  <c r="B27" i="2" l="1"/>
  <c r="C27" i="2"/>
  <c r="B31" i="2"/>
  <c r="C31" i="2" l="1"/>
  <c r="B32" i="2"/>
  <c r="C33" i="2"/>
  <c r="B33" i="2"/>
  <c r="C32" i="2"/>
  <c r="C29" i="2" l="1"/>
  <c r="B30" i="2"/>
  <c r="B29" i="2"/>
  <c r="B28" i="2"/>
  <c r="C28" i="2"/>
  <c r="C30" i="2" l="1"/>
  <c r="P4" i="12" l="1"/>
  <c r="Q4" i="12"/>
  <c r="R4" i="12"/>
  <c r="S4" i="12"/>
  <c r="T4" i="12"/>
  <c r="P5" i="12"/>
  <c r="Q5" i="12"/>
  <c r="R5" i="12"/>
  <c r="S5" i="12"/>
  <c r="T5" i="12"/>
  <c r="P6" i="12"/>
  <c r="Q6" i="12"/>
  <c r="R6" i="12"/>
  <c r="S6" i="12"/>
  <c r="T6" i="12"/>
  <c r="P7" i="12"/>
  <c r="Q7" i="12"/>
  <c r="R7" i="12"/>
  <c r="S7" i="12"/>
  <c r="T7" i="12"/>
  <c r="P8" i="12"/>
  <c r="Q8" i="12"/>
  <c r="R8" i="12"/>
  <c r="S8" i="12"/>
  <c r="T8" i="12"/>
  <c r="P9" i="12"/>
  <c r="Q9" i="12"/>
  <c r="R9" i="12"/>
  <c r="S9" i="12"/>
  <c r="T9" i="12"/>
  <c r="P10" i="12"/>
  <c r="Q10" i="12"/>
  <c r="R10" i="12"/>
  <c r="S10" i="12"/>
  <c r="T10" i="12"/>
  <c r="O8" i="12"/>
  <c r="O9" i="12"/>
  <c r="O10" i="12"/>
  <c r="O4" i="12"/>
  <c r="O5" i="12"/>
  <c r="O6" i="12"/>
  <c r="O7" i="12"/>
  <c r="C18" i="2"/>
  <c r="I12" i="12"/>
  <c r="J12" i="12"/>
  <c r="I13" i="12"/>
  <c r="J13" i="12"/>
  <c r="B38" i="2"/>
  <c r="K10" i="12"/>
  <c r="K9" i="12"/>
  <c r="K8" i="12"/>
  <c r="K6" i="12"/>
  <c r="J10" i="12"/>
  <c r="I10" i="12"/>
  <c r="J9" i="12"/>
  <c r="I9" i="12"/>
  <c r="J8" i="12"/>
  <c r="I8" i="12"/>
  <c r="J7" i="12"/>
  <c r="I7" i="12"/>
  <c r="J6" i="12"/>
  <c r="I6" i="12"/>
  <c r="J5" i="12"/>
  <c r="I5" i="12"/>
  <c r="J4" i="12"/>
  <c r="I4" i="12"/>
  <c r="V6" i="12" l="1"/>
  <c r="M4" i="12"/>
  <c r="B39" i="2"/>
  <c r="U5" i="12"/>
  <c r="B40" i="2"/>
  <c r="U4" i="12"/>
  <c r="M12" i="12"/>
  <c r="V7" i="12"/>
  <c r="C37" i="2"/>
  <c r="B37" i="2"/>
  <c r="C38" i="2"/>
  <c r="C39" i="2"/>
  <c r="V9" i="12"/>
  <c r="C40" i="2"/>
  <c r="U8" i="12"/>
  <c r="W10" i="12"/>
  <c r="V4" i="12"/>
  <c r="V10" i="12"/>
  <c r="U9" i="12"/>
  <c r="U7" i="12"/>
  <c r="U6" i="12"/>
  <c r="U12" i="12"/>
  <c r="L7" i="12"/>
  <c r="W4" i="12"/>
  <c r="U10" i="12"/>
  <c r="W8" i="12"/>
  <c r="X8" i="12" s="1"/>
  <c r="W5" i="12"/>
  <c r="X5" i="12" s="1"/>
  <c r="V12" i="12"/>
  <c r="B45" i="2"/>
  <c r="W9" i="12"/>
  <c r="V8" i="12"/>
  <c r="W7" i="12"/>
  <c r="W6" i="12"/>
  <c r="Y6" i="12" s="1"/>
  <c r="V5" i="12"/>
  <c r="W12" i="12"/>
  <c r="B46" i="2"/>
  <c r="C46" i="2"/>
  <c r="M13" i="12"/>
  <c r="L12" i="12"/>
  <c r="M5" i="12"/>
  <c r="M6" i="12"/>
  <c r="L13" i="12"/>
  <c r="M10" i="12"/>
  <c r="L9" i="12"/>
  <c r="M8" i="12"/>
  <c r="L8" i="12"/>
  <c r="L6" i="12"/>
  <c r="L4" i="12"/>
  <c r="M9" i="12"/>
  <c r="L5" i="12"/>
  <c r="M7" i="12"/>
  <c r="L10" i="12"/>
  <c r="J14" i="12"/>
  <c r="I14" i="12"/>
  <c r="X4" i="12" l="1"/>
  <c r="Y8" i="12"/>
  <c r="X10" i="12"/>
  <c r="Y7" i="12"/>
  <c r="Y5" i="12"/>
  <c r="X9" i="12"/>
  <c r="C41" i="2"/>
  <c r="B41" i="2"/>
  <c r="B42" i="2"/>
  <c r="C42" i="2"/>
  <c r="Y10" i="12"/>
  <c r="X12" i="12"/>
  <c r="B53" i="2"/>
  <c r="C53" i="2"/>
  <c r="Y12" i="12"/>
  <c r="X6" i="12"/>
  <c r="Y4" i="12"/>
  <c r="Y9" i="12"/>
  <c r="B52" i="2"/>
  <c r="C52" i="2"/>
  <c r="X7" i="12"/>
  <c r="M14" i="12"/>
  <c r="L14" i="12"/>
  <c r="B54" i="2" l="1"/>
  <c r="C54" i="2"/>
  <c r="B18" i="2"/>
  <c r="B19" i="2" l="1"/>
  <c r="C19" i="2"/>
</calcChain>
</file>

<file path=xl/sharedStrings.xml><?xml version="1.0" encoding="utf-8"?>
<sst xmlns="http://schemas.openxmlformats.org/spreadsheetml/2006/main" count="192" uniqueCount="100">
  <si>
    <t>Displacement</t>
  </si>
  <si>
    <t>Engine</t>
  </si>
  <si>
    <t>Cylinders</t>
  </si>
  <si>
    <t>Piston Bore</t>
  </si>
  <si>
    <t>Crankshaft Stroke</t>
  </si>
  <si>
    <t>Crankshaft</t>
  </si>
  <si>
    <t>Forged</t>
  </si>
  <si>
    <t>Conecting Rod Length</t>
  </si>
  <si>
    <t>Connecting Rod Weight</t>
  </si>
  <si>
    <t>Piston Weight</t>
  </si>
  <si>
    <t>Crankshaft Main Journals &amp; Bearings</t>
  </si>
  <si>
    <t>Metric Dimensions</t>
  </si>
  <si>
    <t>SAE (Inch) Dimensions</t>
  </si>
  <si>
    <t>Bearing Clearance Variance</t>
  </si>
  <si>
    <t>Crankshaft Rod Journals</t>
  </si>
  <si>
    <t>Rod Journal Dimensions</t>
  </si>
  <si>
    <t>Rod Journal Variance</t>
  </si>
  <si>
    <t>Rod Journal Tolerance</t>
  </si>
  <si>
    <t>Connecting Rod Dimensions</t>
  </si>
  <si>
    <t>Rod L.E. Bushing Dimensions</t>
  </si>
  <si>
    <t>Rod B.E. Bore Dimensions</t>
  </si>
  <si>
    <t>Rod B.E. Variance</t>
  </si>
  <si>
    <t>Rod B.E. Tolerance</t>
  </si>
  <si>
    <t>Rod B.E. Thickness</t>
  </si>
  <si>
    <t>Nominal Bearing Thickness (Top, Blue)</t>
  </si>
  <si>
    <t>Nominal Bearing Thickness (Bottom, Red)</t>
  </si>
  <si>
    <t>Bearing Thickness Variance (Top, Blue)</t>
  </si>
  <si>
    <t>Bearing Thickness Variance (Bottom, Red)</t>
  </si>
  <si>
    <t>Bearing Tolerance (Top, Blue)</t>
  </si>
  <si>
    <t>Bearing Tolerance (Bottom, Red)</t>
  </si>
  <si>
    <t>Rod + Bearing Dimensions</t>
  </si>
  <si>
    <t>Nominal Rod Bearing Clearance</t>
  </si>
  <si>
    <t>Bearing Clearance Tolerance</t>
  </si>
  <si>
    <t>Bearing Clearance per Journal inch</t>
  </si>
  <si>
    <t>Bearing Clearance per Journal Inch Variance (1)</t>
  </si>
  <si>
    <t>Bearing Eccentricity</t>
  </si>
  <si>
    <t>Bearing Eccentricity Variance</t>
  </si>
  <si>
    <t>Bearing Eccentricity Tolerance</t>
  </si>
  <si>
    <t>Rod + Bearing Variance</t>
  </si>
  <si>
    <t>Bearing Clearance per Journal Inch Variance</t>
  </si>
  <si>
    <t>Rod Bearing Alternatives</t>
  </si>
  <si>
    <t>R1</t>
  </si>
  <si>
    <t>R2</t>
  </si>
  <si>
    <t>R3</t>
  </si>
  <si>
    <t>R4</t>
  </si>
  <si>
    <t>R5</t>
  </si>
  <si>
    <t>R6</t>
  </si>
  <si>
    <t>R7</t>
  </si>
  <si>
    <t>R8</t>
  </si>
  <si>
    <t>Max</t>
  </si>
  <si>
    <t>Official</t>
  </si>
  <si>
    <t>Min Dev.</t>
  </si>
  <si>
    <t>Max Dev.</t>
  </si>
  <si>
    <t>Min</t>
  </si>
  <si>
    <t>Degrees</t>
  </si>
  <si>
    <t>Ambient</t>
  </si>
  <si>
    <t>Rod Temp</t>
  </si>
  <si>
    <t>Clearance</t>
  </si>
  <si>
    <t>Min Clearance</t>
  </si>
  <si>
    <t>Max Clearance</t>
  </si>
  <si>
    <t>Tickness</t>
  </si>
  <si>
    <t>Eccentricity</t>
  </si>
  <si>
    <t>Official Clearance</t>
  </si>
  <si>
    <t>Clevite Blueprint Clearance</t>
  </si>
  <si>
    <t>BE Bearings (Clevite) Custom Rod Bearings</t>
  </si>
  <si>
    <t>Bearing Dimensions (BE Bearings Bearings)</t>
  </si>
  <si>
    <t>Nominal Bearing Thickness (Top=Bottom)</t>
  </si>
  <si>
    <t>Bearing Thickness Variance (Top=Bottom)</t>
  </si>
  <si>
    <t>Bearing Tolerance (Top=Bottom)</t>
  </si>
  <si>
    <t>Width</t>
  </si>
  <si>
    <t>439/440</t>
  </si>
  <si>
    <t>440 (Blue)</t>
  </si>
  <si>
    <t>439 (Red)</t>
  </si>
  <si>
    <t>Bearing Dimensions (439/440 Bearings)</t>
  </si>
  <si>
    <t>Bearing Width (Blue, Red)</t>
  </si>
  <si>
    <t>SP1534HK</t>
  </si>
  <si>
    <t>Nominal</t>
  </si>
  <si>
    <t>Main</t>
  </si>
  <si>
    <t>Bearing</t>
  </si>
  <si>
    <t>91.00 mm</t>
  </si>
  <si>
    <t>3.5827 inch</t>
  </si>
  <si>
    <t>S54B32</t>
  </si>
  <si>
    <t>87.00 mm</t>
  </si>
  <si>
    <t>3.4252 inch</t>
  </si>
  <si>
    <t>3246 cc</t>
  </si>
  <si>
    <t>198.07 sq. inches</t>
  </si>
  <si>
    <t>Journa #-1</t>
  </si>
  <si>
    <t>Journals #2-#7</t>
  </si>
  <si>
    <t>Main Journal(1) Dimensions</t>
  </si>
  <si>
    <t>Main Journal(1) Variance</t>
  </si>
  <si>
    <t>Main Journal(1) Tolerance</t>
  </si>
  <si>
    <t>Main Journal(2-7) Dimensions</t>
  </si>
  <si>
    <t>Main Journal(2-7) Variance</t>
  </si>
  <si>
    <t>Main Journal(2-7) Tolerance</t>
  </si>
  <si>
    <t>Con Rod Clearance (439/440 Bearings)</t>
  </si>
  <si>
    <t>Rod</t>
  </si>
  <si>
    <t>Tolerance</t>
  </si>
  <si>
    <t>Distribution</t>
  </si>
  <si>
    <t>Total</t>
  </si>
  <si>
    <t>Lot-1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</si>
</sst>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-yy;@"/>
    <numFmt numFmtId="165" formatCode="0.00000"/>
    <numFmt numFmtId="166" formatCode="0.0000"/>
    <numFmt numFmtId="167" formatCode="0.000"/>
  </numFmts>
  <fonts count="7" x14ac:knownFonts="1">
    <font>
      <sz val="11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</font>
    <font>
      <sz val="10"/>
      <color rgb="FF000000"/>
      <name val="Arial"/>
      <family val="2"/>
      <charset val="1"/>
    </font>
    <font>
      <sz val="10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10101"/>
        <bgColor rgb="FF000000"/>
      </patternFill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CCCCCC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CCCCC"/>
      </patternFill>
    </fill>
  </fills>
  <borders count="6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/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2" fillId="4" borderId="4" xfId="0" applyFont="1" applyFill="1" applyBorder="1" applyAlignment="1">
      <alignment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0" fillId="6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6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165" fontId="2" fillId="0" borderId="0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0" fillId="8" borderId="0" xfId="0" applyFill="1"/>
    <xf numFmtId="0" fontId="0" fillId="0" borderId="0" xfId="0" applyFill="1"/>
    <xf numFmtId="0" fontId="0" fillId="7" borderId="0" xfId="0" applyFill="1"/>
    <xf numFmtId="165" fontId="0" fillId="0" borderId="0" xfId="0" applyNumberFormat="1" applyBorder="1"/>
    <xf numFmtId="166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0" xfId="0" applyFont="1" applyFill="1"/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10101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baseline="0">
                <a:effectLst/>
              </a:rPr>
              <a:t>Eccentricity:  BMW 439/440 Bearings</a:t>
            </a:r>
            <a:endParaRPr lang="en-US" sz="1600" baseline="0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2"/>
          <c:order val="0"/>
          <c:tx>
            <c:v>BMW439/440 Bearings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00B05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('Virgin 439_440'!$Z$4:$AE$4,'Virgin 439_440'!$Z$5:$AE$5,'Virgin 439_440'!$Z$6:$AE$6,'Virgin 439_440'!$Z$7:$AE$7,'Virgin 439_440'!$Z$8:$AE$8,'Virgin 439_440'!$Z$9:$AE$9,'Virgin 439_440'!$Z$10:$AE$10)</c:f>
              <c:numCache>
                <c:formatCode>0.000</c:formatCode>
                <c:ptCount val="4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19.75</c:v>
                </c:pt>
                <c:pt idx="7">
                  <c:v>19.75</c:v>
                </c:pt>
                <c:pt idx="8">
                  <c:v>19.75</c:v>
                </c:pt>
                <c:pt idx="9">
                  <c:v>19.75</c:v>
                </c:pt>
                <c:pt idx="10">
                  <c:v>19.75</c:v>
                </c:pt>
                <c:pt idx="11">
                  <c:v>19.75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135</c:v>
                </c:pt>
                <c:pt idx="25">
                  <c:v>135</c:v>
                </c:pt>
                <c:pt idx="26">
                  <c:v>135</c:v>
                </c:pt>
                <c:pt idx="27">
                  <c:v>135</c:v>
                </c:pt>
                <c:pt idx="28">
                  <c:v>135</c:v>
                </c:pt>
                <c:pt idx="29">
                  <c:v>135</c:v>
                </c:pt>
                <c:pt idx="30">
                  <c:v>160.25</c:v>
                </c:pt>
                <c:pt idx="31">
                  <c:v>160.25</c:v>
                </c:pt>
                <c:pt idx="32">
                  <c:v>160.25</c:v>
                </c:pt>
                <c:pt idx="33">
                  <c:v>160.25</c:v>
                </c:pt>
                <c:pt idx="34">
                  <c:v>160.25</c:v>
                </c:pt>
                <c:pt idx="35">
                  <c:v>160.25</c:v>
                </c:pt>
                <c:pt idx="36">
                  <c:v>175</c:v>
                </c:pt>
                <c:pt idx="37">
                  <c:v>175</c:v>
                </c:pt>
                <c:pt idx="38">
                  <c:v>175</c:v>
                </c:pt>
                <c:pt idx="39">
                  <c:v>175</c:v>
                </c:pt>
                <c:pt idx="40">
                  <c:v>175</c:v>
                </c:pt>
                <c:pt idx="41">
                  <c:v>175</c:v>
                </c:pt>
              </c:numCache>
            </c:numRef>
          </c:xVal>
          <c:yVal>
            <c:numRef>
              <c:f>('Virgin 439_440'!$O$4:$T$4,'Virgin 439_440'!$O$5:$T$5,'Virgin 439_440'!$O$6:$T$6,'Virgin 439_440'!$O$7:$T$7,'Virgin 439_440'!$O$8:$T$8,'Virgin 439_440'!$O$9:$T$9,'Virgin 439_440'!$O$10:$T$10)</c:f>
              <c:numCache>
                <c:formatCode>0.00000</c:formatCode>
                <c:ptCount val="42"/>
                <c:pt idx="0">
                  <c:v>1.2499999999999734E-3</c:v>
                </c:pt>
                <c:pt idx="1">
                  <c:v>2.0999999999999908E-3</c:v>
                </c:pt>
                <c:pt idx="2">
                  <c:v>1.6999999999998128E-3</c:v>
                </c:pt>
                <c:pt idx="3">
                  <c:v>2.4000000000001798E-3</c:v>
                </c:pt>
                <c:pt idx="4">
                  <c:v>1.8000000000000238E-3</c:v>
                </c:pt>
                <c:pt idx="5">
                  <c:v>2.3499999999998522E-3</c:v>
                </c:pt>
                <c:pt idx="6">
                  <c:v>2.9999999999996696E-4</c:v>
                </c:pt>
                <c:pt idx="7">
                  <c:v>6.4999999999981739E-4</c:v>
                </c:pt>
                <c:pt idx="8">
                  <c:v>5.9999999999993392E-4</c:v>
                </c:pt>
                <c:pt idx="9">
                  <c:v>1.1000000000001009E-3</c:v>
                </c:pt>
                <c:pt idx="10">
                  <c:v>4.5000000000006146E-4</c:v>
                </c:pt>
                <c:pt idx="11">
                  <c:v>4.9999999999994493E-4</c:v>
                </c:pt>
                <c:pt idx="12">
                  <c:v>-9.9999999999988987E-5</c:v>
                </c:pt>
                <c:pt idx="13">
                  <c:v>-5.0000000000105516E-5</c:v>
                </c:pt>
                <c:pt idx="14">
                  <c:v>4.9999999999883471E-5</c:v>
                </c:pt>
                <c:pt idx="15">
                  <c:v>5.0000000000105516E-5</c:v>
                </c:pt>
                <c:pt idx="16">
                  <c:v>-2.5000000000008349E-4</c:v>
                </c:pt>
                <c:pt idx="17">
                  <c:v>-1.0000000000021103E-4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-2.9999999999996696E-4</c:v>
                </c:pt>
                <c:pt idx="25">
                  <c:v>-9.9999999999988987E-5</c:v>
                </c:pt>
                <c:pt idx="26">
                  <c:v>9.9999999999988987E-5</c:v>
                </c:pt>
                <c:pt idx="27">
                  <c:v>1.9999999999997797E-4</c:v>
                </c:pt>
                <c:pt idx="28">
                  <c:v>-4.9999999999883471E-5</c:v>
                </c:pt>
                <c:pt idx="29">
                  <c:v>9.9999999999988987E-5</c:v>
                </c:pt>
                <c:pt idx="30">
                  <c:v>6.9999999999992291E-4</c:v>
                </c:pt>
                <c:pt idx="31">
                  <c:v>4.9999999999994493E-4</c:v>
                </c:pt>
                <c:pt idx="32">
                  <c:v>3.9999999999995595E-4</c:v>
                </c:pt>
                <c:pt idx="33">
                  <c:v>1.1499999999999844E-3</c:v>
                </c:pt>
                <c:pt idx="34">
                  <c:v>5.5000000000005045E-4</c:v>
                </c:pt>
                <c:pt idx="35">
                  <c:v>7.9999999999991189E-4</c:v>
                </c:pt>
                <c:pt idx="36">
                  <c:v>1.8500000000001293E-3</c:v>
                </c:pt>
                <c:pt idx="37">
                  <c:v>1.6999999999998128E-3</c:v>
                </c:pt>
                <c:pt idx="38">
                  <c:v>1.1999999999998678E-3</c:v>
                </c:pt>
                <c:pt idx="39">
                  <c:v>2.4000000000001798E-3</c:v>
                </c:pt>
                <c:pt idx="40">
                  <c:v>1.3499999999999623E-3</c:v>
                </c:pt>
                <c:pt idx="41">
                  <c:v>1.4999999999998348E-3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684352"/>
        <c:axId val="676684928"/>
      </c:scatterChart>
      <c:valAx>
        <c:axId val="676684352"/>
        <c:scaling>
          <c:orientation val="minMax"/>
          <c:max val="180"/>
          <c:min val="0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2700000" vert="horz" anchor="b" anchorCtr="1"/>
          <a:lstStyle/>
          <a:p>
            <a:pPr>
              <a:defRPr/>
            </a:pPr>
            <a:endParaRPr lang="en-US"/>
          </a:p>
        </c:txPr>
        <c:crossAx val="676684928"/>
        <c:crossesAt val="0"/>
        <c:crossBetween val="midCat"/>
        <c:majorUnit val="22.5"/>
      </c:valAx>
      <c:valAx>
        <c:axId val="676684928"/>
        <c:scaling>
          <c:orientation val="minMax"/>
          <c:max val="5.000000000000001E-3"/>
          <c:min val="-1.0000000000000003E-4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00" sourceLinked="1"/>
        <c:majorTickMark val="out"/>
        <c:minorTickMark val="none"/>
        <c:tickLblPos val="nextTo"/>
        <c:crossAx val="676684352"/>
        <c:crossesAt val="0"/>
        <c:crossBetween val="midCat"/>
        <c:majorUnit val="5.0000000000000012E-4"/>
      </c:valAx>
      <c:spPr>
        <a:solidFill>
          <a:srgbClr val="FFFFFF"/>
        </a:solidFill>
      </c:spPr>
    </c:plotArea>
    <c:legend>
      <c:legendPos val="t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baseline="0">
                <a:effectLst/>
              </a:rPr>
              <a:t>Eccentricity:  BE Bearings vs. Stock</a:t>
            </a:r>
            <a:endParaRPr lang="en-US" sz="1600" baseline="0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2"/>
          <c:order val="0"/>
          <c:tx>
            <c:v>BMW439/440 Bearings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('Virgin 439_440'!$Z$4:$AE$4,'Virgin 439_440'!$Z$5:$AE$5,'Virgin 439_440'!$Z$6:$AE$6,'Virgin 439_440'!$Z$7:$AE$7,'Virgin 439_440'!$Z$8:$AE$8,'Virgin 439_440'!$Z$9:$AE$9,'Virgin 439_440'!$Z$10:$AE$10)</c:f>
              <c:numCache>
                <c:formatCode>0.000</c:formatCode>
                <c:ptCount val="4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19.75</c:v>
                </c:pt>
                <c:pt idx="7">
                  <c:v>19.75</c:v>
                </c:pt>
                <c:pt idx="8">
                  <c:v>19.75</c:v>
                </c:pt>
                <c:pt idx="9">
                  <c:v>19.75</c:v>
                </c:pt>
                <c:pt idx="10">
                  <c:v>19.75</c:v>
                </c:pt>
                <c:pt idx="11">
                  <c:v>19.75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135</c:v>
                </c:pt>
                <c:pt idx="25">
                  <c:v>135</c:v>
                </c:pt>
                <c:pt idx="26">
                  <c:v>135</c:v>
                </c:pt>
                <c:pt idx="27">
                  <c:v>135</c:v>
                </c:pt>
                <c:pt idx="28">
                  <c:v>135</c:v>
                </c:pt>
                <c:pt idx="29">
                  <c:v>135</c:v>
                </c:pt>
                <c:pt idx="30">
                  <c:v>160.25</c:v>
                </c:pt>
                <c:pt idx="31">
                  <c:v>160.25</c:v>
                </c:pt>
                <c:pt idx="32">
                  <c:v>160.25</c:v>
                </c:pt>
                <c:pt idx="33">
                  <c:v>160.25</c:v>
                </c:pt>
                <c:pt idx="34">
                  <c:v>160.25</c:v>
                </c:pt>
                <c:pt idx="35">
                  <c:v>160.25</c:v>
                </c:pt>
                <c:pt idx="36">
                  <c:v>175</c:v>
                </c:pt>
                <c:pt idx="37">
                  <c:v>175</c:v>
                </c:pt>
                <c:pt idx="38">
                  <c:v>175</c:v>
                </c:pt>
                <c:pt idx="39">
                  <c:v>175</c:v>
                </c:pt>
                <c:pt idx="40">
                  <c:v>175</c:v>
                </c:pt>
                <c:pt idx="41">
                  <c:v>175</c:v>
                </c:pt>
              </c:numCache>
            </c:numRef>
          </c:xVal>
          <c:yVal>
            <c:numRef>
              <c:f>('Virgin 439_440'!$O$4:$T$4,'Virgin 439_440'!$O$5:$T$5,'Virgin 439_440'!$O$6:$T$6,'Virgin 439_440'!$O$7:$T$7,'Virgin 439_440'!$O$8:$T$8,'Virgin 439_440'!$O$9:$T$9,'Virgin 439_440'!$O$10:$T$10)</c:f>
              <c:numCache>
                <c:formatCode>0.00000</c:formatCode>
                <c:ptCount val="42"/>
                <c:pt idx="0">
                  <c:v>1.2499999999999734E-3</c:v>
                </c:pt>
                <c:pt idx="1">
                  <c:v>2.0999999999999908E-3</c:v>
                </c:pt>
                <c:pt idx="2">
                  <c:v>1.6999999999998128E-3</c:v>
                </c:pt>
                <c:pt idx="3">
                  <c:v>2.4000000000001798E-3</c:v>
                </c:pt>
                <c:pt idx="4">
                  <c:v>1.8000000000000238E-3</c:v>
                </c:pt>
                <c:pt idx="5">
                  <c:v>2.3499999999998522E-3</c:v>
                </c:pt>
                <c:pt idx="6">
                  <c:v>2.9999999999996696E-4</c:v>
                </c:pt>
                <c:pt idx="7">
                  <c:v>6.4999999999981739E-4</c:v>
                </c:pt>
                <c:pt idx="8">
                  <c:v>5.9999999999993392E-4</c:v>
                </c:pt>
                <c:pt idx="9">
                  <c:v>1.1000000000001009E-3</c:v>
                </c:pt>
                <c:pt idx="10">
                  <c:v>4.5000000000006146E-4</c:v>
                </c:pt>
                <c:pt idx="11">
                  <c:v>4.9999999999994493E-4</c:v>
                </c:pt>
                <c:pt idx="12">
                  <c:v>-9.9999999999988987E-5</c:v>
                </c:pt>
                <c:pt idx="13">
                  <c:v>-5.0000000000105516E-5</c:v>
                </c:pt>
                <c:pt idx="14">
                  <c:v>4.9999999999883471E-5</c:v>
                </c:pt>
                <c:pt idx="15">
                  <c:v>5.0000000000105516E-5</c:v>
                </c:pt>
                <c:pt idx="16">
                  <c:v>-2.5000000000008349E-4</c:v>
                </c:pt>
                <c:pt idx="17">
                  <c:v>-1.0000000000021103E-4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-2.9999999999996696E-4</c:v>
                </c:pt>
                <c:pt idx="25">
                  <c:v>-9.9999999999988987E-5</c:v>
                </c:pt>
                <c:pt idx="26">
                  <c:v>9.9999999999988987E-5</c:v>
                </c:pt>
                <c:pt idx="27">
                  <c:v>1.9999999999997797E-4</c:v>
                </c:pt>
                <c:pt idx="28">
                  <c:v>-4.9999999999883471E-5</c:v>
                </c:pt>
                <c:pt idx="29">
                  <c:v>9.9999999999988987E-5</c:v>
                </c:pt>
                <c:pt idx="30">
                  <c:v>6.9999999999992291E-4</c:v>
                </c:pt>
                <c:pt idx="31">
                  <c:v>4.9999999999994493E-4</c:v>
                </c:pt>
                <c:pt idx="32">
                  <c:v>3.9999999999995595E-4</c:v>
                </c:pt>
                <c:pt idx="33">
                  <c:v>1.1499999999999844E-3</c:v>
                </c:pt>
                <c:pt idx="34">
                  <c:v>5.5000000000005045E-4</c:v>
                </c:pt>
                <c:pt idx="35">
                  <c:v>7.9999999999991189E-4</c:v>
                </c:pt>
                <c:pt idx="36">
                  <c:v>1.8500000000001293E-3</c:v>
                </c:pt>
                <c:pt idx="37">
                  <c:v>1.6999999999998128E-3</c:v>
                </c:pt>
                <c:pt idx="38">
                  <c:v>1.1999999999998678E-3</c:v>
                </c:pt>
                <c:pt idx="39">
                  <c:v>2.4000000000001798E-3</c:v>
                </c:pt>
                <c:pt idx="40">
                  <c:v>1.3499999999999623E-3</c:v>
                </c:pt>
                <c:pt idx="41">
                  <c:v>1.4999999999998348E-3</c:v>
                </c:pt>
              </c:numCache>
            </c:numRef>
          </c:yVal>
          <c:smooth val="0"/>
        </c:ser>
        <c:ser>
          <c:idx val="0"/>
          <c:order val="1"/>
          <c:tx>
            <c:v>BE Bearings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('BEB SP1534HK'!$Z$4:$AE$4,'BEB SP1534HK'!$Z$5:$AE$5,'BEB SP1534HK'!$Z$6:$AE$6,'BEB SP1534HK'!$Z$7:$AE$7,'BEB SP1534HK'!$Z$8:$AE$8,'BEB SP1534HK'!$Z$9:$AE$9,'BEB SP1534HK'!$Z$10:$AE$10)</c:f>
              <c:numCache>
                <c:formatCode>0.000</c:formatCode>
                <c:ptCount val="4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19.75</c:v>
                </c:pt>
                <c:pt idx="7">
                  <c:v>19.75</c:v>
                </c:pt>
                <c:pt idx="8">
                  <c:v>19.75</c:v>
                </c:pt>
                <c:pt idx="9">
                  <c:v>19.75</c:v>
                </c:pt>
                <c:pt idx="10">
                  <c:v>19.75</c:v>
                </c:pt>
                <c:pt idx="11">
                  <c:v>19.75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135</c:v>
                </c:pt>
                <c:pt idx="25">
                  <c:v>135</c:v>
                </c:pt>
                <c:pt idx="26">
                  <c:v>135</c:v>
                </c:pt>
                <c:pt idx="27">
                  <c:v>135</c:v>
                </c:pt>
                <c:pt idx="28">
                  <c:v>135</c:v>
                </c:pt>
                <c:pt idx="29">
                  <c:v>135</c:v>
                </c:pt>
                <c:pt idx="30">
                  <c:v>160.25</c:v>
                </c:pt>
                <c:pt idx="31">
                  <c:v>160.25</c:v>
                </c:pt>
                <c:pt idx="32">
                  <c:v>160.25</c:v>
                </c:pt>
                <c:pt idx="33">
                  <c:v>160.25</c:v>
                </c:pt>
                <c:pt idx="34">
                  <c:v>160.25</c:v>
                </c:pt>
                <c:pt idx="35">
                  <c:v>160.25</c:v>
                </c:pt>
                <c:pt idx="36">
                  <c:v>175</c:v>
                </c:pt>
                <c:pt idx="37">
                  <c:v>175</c:v>
                </c:pt>
                <c:pt idx="38">
                  <c:v>175</c:v>
                </c:pt>
                <c:pt idx="39">
                  <c:v>175</c:v>
                </c:pt>
                <c:pt idx="40">
                  <c:v>175</c:v>
                </c:pt>
                <c:pt idx="41">
                  <c:v>175</c:v>
                </c:pt>
              </c:numCache>
            </c:numRef>
          </c:xVal>
          <c:yVal>
            <c:numRef>
              <c:f>('BEB SP1534HK'!$O$4:$T$4,'BEB SP1534HK'!$O$5:$T$5,'BEB SP1534HK'!$O$6:$T$6,'BEB SP1534HK'!$O$7:$T$7,'BEB SP1534HK'!$O$8:$T$8,'BEB SP1534HK'!$O$9:$T$9,'BEB SP1534HK'!$O$10:$T$10)</c:f>
              <c:numCache>
                <c:formatCode>0.00000</c:formatCode>
                <c:ptCount val="42"/>
                <c:pt idx="0">
                  <c:v>3.949999999999898E-3</c:v>
                </c:pt>
                <c:pt idx="1">
                  <c:v>3.6000000000000476E-3</c:v>
                </c:pt>
                <c:pt idx="2">
                  <c:v>3.1999999999998696E-3</c:v>
                </c:pt>
                <c:pt idx="3">
                  <c:v>3.8499999999999091E-3</c:v>
                </c:pt>
                <c:pt idx="4">
                  <c:v>3.5000000000000586E-3</c:v>
                </c:pt>
                <c:pt idx="5">
                  <c:v>3.6499999999999311E-3</c:v>
                </c:pt>
                <c:pt idx="6">
                  <c:v>1.4000000000000679E-3</c:v>
                </c:pt>
                <c:pt idx="7">
                  <c:v>1.6499999999999293E-3</c:v>
                </c:pt>
                <c:pt idx="8">
                  <c:v>1.1999999999998678E-3</c:v>
                </c:pt>
                <c:pt idx="9">
                  <c:v>2.0000000000000018E-3</c:v>
                </c:pt>
                <c:pt idx="10">
                  <c:v>1.5000000000000568E-3</c:v>
                </c:pt>
                <c:pt idx="11">
                  <c:v>1.6000000000000458E-3</c:v>
                </c:pt>
                <c:pt idx="12">
                  <c:v>5.5000000000005045E-4</c:v>
                </c:pt>
                <c:pt idx="13">
                  <c:v>5.9999999999993392E-4</c:v>
                </c:pt>
                <c:pt idx="14">
                  <c:v>4.4999999999983942E-4</c:v>
                </c:pt>
                <c:pt idx="15">
                  <c:v>7.9999999999991189E-4</c:v>
                </c:pt>
                <c:pt idx="16">
                  <c:v>4.9999999999994493E-4</c:v>
                </c:pt>
                <c:pt idx="17">
                  <c:v>5.9999999999993392E-4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5.5000000000005045E-4</c:v>
                </c:pt>
                <c:pt idx="25">
                  <c:v>5.9999999999993392E-4</c:v>
                </c:pt>
                <c:pt idx="26">
                  <c:v>7.5000000000002842E-4</c:v>
                </c:pt>
                <c:pt idx="27">
                  <c:v>9.5000000000000639E-4</c:v>
                </c:pt>
                <c:pt idx="28">
                  <c:v>6.5000000000003944E-4</c:v>
                </c:pt>
                <c:pt idx="29">
                  <c:v>5.9999999999993392E-4</c:v>
                </c:pt>
                <c:pt idx="30">
                  <c:v>1.4000000000000679E-3</c:v>
                </c:pt>
                <c:pt idx="31">
                  <c:v>1.6000000000000458E-3</c:v>
                </c:pt>
                <c:pt idx="32">
                  <c:v>1.3999999999998458E-3</c:v>
                </c:pt>
                <c:pt idx="33">
                  <c:v>2.0000000000000018E-3</c:v>
                </c:pt>
                <c:pt idx="34">
                  <c:v>1.7000000000000348E-3</c:v>
                </c:pt>
                <c:pt idx="35">
                  <c:v>1.7000000000000348E-3</c:v>
                </c:pt>
                <c:pt idx="36">
                  <c:v>3.6499999999999311E-3</c:v>
                </c:pt>
                <c:pt idx="37">
                  <c:v>3.5499999999999421E-3</c:v>
                </c:pt>
                <c:pt idx="38">
                  <c:v>3.8499999999999091E-3</c:v>
                </c:pt>
                <c:pt idx="39">
                  <c:v>3.9000000000000146E-3</c:v>
                </c:pt>
                <c:pt idx="40">
                  <c:v>3.5000000000000586E-3</c:v>
                </c:pt>
                <c:pt idx="41">
                  <c:v>3.6499999999999311E-3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9968"/>
        <c:axId val="675505280"/>
      </c:scatterChart>
      <c:valAx>
        <c:axId val="20019968"/>
        <c:scaling>
          <c:orientation val="minMax"/>
          <c:max val="180"/>
          <c:min val="0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2700000" vert="horz" anchor="b" anchorCtr="1"/>
          <a:lstStyle/>
          <a:p>
            <a:pPr>
              <a:defRPr/>
            </a:pPr>
            <a:endParaRPr lang="en-US"/>
          </a:p>
        </c:txPr>
        <c:crossAx val="675505280"/>
        <c:crossesAt val="0"/>
        <c:crossBetween val="midCat"/>
        <c:majorUnit val="22.5"/>
      </c:valAx>
      <c:valAx>
        <c:axId val="675505280"/>
        <c:scaling>
          <c:orientation val="minMax"/>
          <c:max val="5.000000000000001E-3"/>
          <c:min val="-1.0000000000000003E-4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00" sourceLinked="1"/>
        <c:majorTickMark val="out"/>
        <c:minorTickMark val="none"/>
        <c:tickLblPos val="nextTo"/>
        <c:crossAx val="20019968"/>
        <c:crossesAt val="0"/>
        <c:crossBetween val="midCat"/>
        <c:majorUnit val="5.0000000000000012E-4"/>
      </c:valAx>
      <c:spPr>
        <a:solidFill>
          <a:srgbClr val="FFFFFF"/>
        </a:solidFill>
      </c:spPr>
    </c:plotArea>
    <c:legend>
      <c:legendPos val="t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22474892090891607"/>
          <c:w val="0.88337270341207352"/>
          <c:h val="0.60522425327592455"/>
        </c:manualLayout>
      </c:layout>
      <c:scatterChart>
        <c:scatterStyle val="smoothMarker"/>
        <c:varyColors val="0"/>
        <c:ser>
          <c:idx val="0"/>
          <c:order val="0"/>
          <c:tx>
            <c:v>Lot-1</c:v>
          </c:tx>
          <c:marker>
            <c:symbol val="none"/>
          </c:marker>
          <c:xVal>
            <c:numRef>
              <c:f>'BEB SP1534HK'!$B$21:$L$21</c:f>
              <c:numCache>
                <c:formatCode>0.00000</c:formatCode>
                <c:ptCount val="11"/>
                <c:pt idx="0">
                  <c:v>7.7899999999999997E-2</c:v>
                </c:pt>
                <c:pt idx="1">
                  <c:v>7.7950000000000005E-2</c:v>
                </c:pt>
                <c:pt idx="2">
                  <c:v>7.8E-2</c:v>
                </c:pt>
                <c:pt idx="3">
                  <c:v>7.8049999999999994E-2</c:v>
                </c:pt>
                <c:pt idx="4">
                  <c:v>7.8100000000000003E-2</c:v>
                </c:pt>
                <c:pt idx="5">
                  <c:v>7.8149999999999997E-2</c:v>
                </c:pt>
                <c:pt idx="6">
                  <c:v>7.8200000000000006E-2</c:v>
                </c:pt>
                <c:pt idx="7">
                  <c:v>7.8250000000000097E-2</c:v>
                </c:pt>
                <c:pt idx="8">
                  <c:v>7.8300000000000106E-2</c:v>
                </c:pt>
                <c:pt idx="9">
                  <c:v>7.83500000000001E-2</c:v>
                </c:pt>
                <c:pt idx="10">
                  <c:v>7.8400000000000095E-2</c:v>
                </c:pt>
              </c:numCache>
            </c:numRef>
          </c:xVal>
          <c:yVal>
            <c:numRef>
              <c:f>'BEB SP1534HK'!$B$22:$L$22</c:f>
              <c:numCache>
                <c:formatCode>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101</c:v>
                </c:pt>
                <c:pt idx="3">
                  <c:v>135</c:v>
                </c:pt>
                <c:pt idx="4">
                  <c:v>266</c:v>
                </c:pt>
                <c:pt idx="5">
                  <c:v>267</c:v>
                </c:pt>
                <c:pt idx="6">
                  <c:v>167</c:v>
                </c:pt>
                <c:pt idx="7">
                  <c:v>49</c:v>
                </c:pt>
                <c:pt idx="8">
                  <c:v>35</c:v>
                </c:pt>
                <c:pt idx="9">
                  <c:v>4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639616"/>
        <c:axId val="720640192"/>
      </c:scatterChart>
      <c:valAx>
        <c:axId val="720639616"/>
        <c:scaling>
          <c:orientation val="minMax"/>
          <c:max val="7.8400000000000011E-2"/>
          <c:min val="7.7900000000000011E-2"/>
        </c:scaling>
        <c:delete val="0"/>
        <c:axPos val="b"/>
        <c:numFmt formatCode="0.00000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720640192"/>
        <c:crosses val="autoZero"/>
        <c:crossBetween val="midCat"/>
        <c:majorUnit val="1.0000000000000003E-4"/>
      </c:valAx>
      <c:valAx>
        <c:axId val="720640192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20639616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13</xdr:col>
      <xdr:colOff>142515</xdr:colOff>
      <xdr:row>49</xdr:row>
      <xdr:rowOff>151980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13</xdr:col>
      <xdr:colOff>142515</xdr:colOff>
      <xdr:row>69</xdr:row>
      <xdr:rowOff>151980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19</xdr:row>
      <xdr:rowOff>176211</xdr:rowOff>
    </xdr:from>
    <xdr:to>
      <xdr:col>25</xdr:col>
      <xdr:colOff>304800</xdr:colOff>
      <xdr:row>39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3Post_Rod_Bearing_Clearance_Wiki%20-%20Cop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-1 Tables"/>
      <sheetName val="Crankshaft History"/>
      <sheetName val="Crank-Main"/>
      <sheetName val="Rod Journals"/>
      <sheetName val="Connecting Rod Dimensions"/>
      <sheetName val="Connecting Rod Bolts"/>
      <sheetName val="OEM Rod Bolts"/>
      <sheetName val="ARP-2000 Rod Bolts"/>
      <sheetName val="ARP-625 Rod Bolts"/>
      <sheetName val="Carrillo WMC Rod Bolts"/>
      <sheetName val="Virgin 088_089"/>
      <sheetName val="Virgin 702_703"/>
      <sheetName val="BE Bearings Clevite"/>
      <sheetName val="Virgin Calico"/>
      <sheetName val="Virgin VAC_Clevite"/>
      <sheetName val="Virgin WPC"/>
      <sheetName val="Rod Bearing History"/>
      <sheetName val="Sheet1"/>
      <sheetName val="BMW Parts Lis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B43">
            <v>7.7899999999999997E-2</v>
          </cell>
          <cell r="C43">
            <v>7.7950000000000005E-2</v>
          </cell>
          <cell r="D43">
            <v>7.8E-2</v>
          </cell>
          <cell r="E43">
            <v>7.8049999999999994E-2</v>
          </cell>
          <cell r="F43">
            <v>7.8100000000000003E-2</v>
          </cell>
          <cell r="G43">
            <v>7.8149999999999997E-2</v>
          </cell>
          <cell r="H43">
            <v>7.8200000000000006E-2</v>
          </cell>
          <cell r="I43">
            <v>7.8250000000000097E-2</v>
          </cell>
          <cell r="J43">
            <v>7.8300000000000106E-2</v>
          </cell>
          <cell r="K43">
            <v>7.83500000000001E-2</v>
          </cell>
          <cell r="L43">
            <v>7.8400000000000095E-2</v>
          </cell>
          <cell r="M43">
            <v>7.8450000000000103E-2</v>
          </cell>
          <cell r="N43">
            <v>7.8500000000000097E-2</v>
          </cell>
          <cell r="O43">
            <v>7.8550000000000106E-2</v>
          </cell>
          <cell r="P43">
            <v>7.86000000000001E-2</v>
          </cell>
        </row>
        <row r="44">
          <cell r="B44">
            <v>6</v>
          </cell>
          <cell r="C44">
            <v>11</v>
          </cell>
          <cell r="D44">
            <v>20</v>
          </cell>
          <cell r="E44">
            <v>50</v>
          </cell>
          <cell r="F44">
            <v>232</v>
          </cell>
          <cell r="G44">
            <v>476</v>
          </cell>
          <cell r="H44">
            <v>402</v>
          </cell>
          <cell r="I44">
            <v>363</v>
          </cell>
          <cell r="J44">
            <v>240</v>
          </cell>
          <cell r="K44">
            <v>69</v>
          </cell>
          <cell r="L44">
            <v>32</v>
          </cell>
          <cell r="M44">
            <v>9</v>
          </cell>
          <cell r="N44">
            <v>0</v>
          </cell>
          <cell r="O44">
            <v>0</v>
          </cell>
          <cell r="P44">
            <v>1</v>
          </cell>
        </row>
        <row r="45">
          <cell r="D45">
            <v>1</v>
          </cell>
          <cell r="E45">
            <v>2</v>
          </cell>
          <cell r="F45">
            <v>5</v>
          </cell>
          <cell r="G45">
            <v>182</v>
          </cell>
          <cell r="H45">
            <v>220</v>
          </cell>
          <cell r="I45">
            <v>237</v>
          </cell>
          <cell r="J45">
            <v>239</v>
          </cell>
          <cell r="K45">
            <v>112</v>
          </cell>
          <cell r="L45">
            <v>18</v>
          </cell>
          <cell r="M45">
            <v>6</v>
          </cell>
        </row>
        <row r="46">
          <cell r="D46">
            <v>3</v>
          </cell>
          <cell r="E46">
            <v>3</v>
          </cell>
          <cell r="F46">
            <v>16</v>
          </cell>
          <cell r="G46">
            <v>105</v>
          </cell>
          <cell r="H46">
            <v>274</v>
          </cell>
          <cell r="I46">
            <v>369</v>
          </cell>
          <cell r="J46">
            <v>467</v>
          </cell>
          <cell r="K46">
            <v>416</v>
          </cell>
          <cell r="L46">
            <v>240</v>
          </cell>
          <cell r="M46">
            <v>96</v>
          </cell>
          <cell r="N46">
            <v>30</v>
          </cell>
          <cell r="O46">
            <v>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5516"/>
  <sheetViews>
    <sheetView topLeftCell="A37" zoomScaleNormal="100" workbookViewId="0">
      <selection activeCell="A62" sqref="A62:C72"/>
    </sheetView>
  </sheetViews>
  <sheetFormatPr defaultRowHeight="15" x14ac:dyDescent="0.25"/>
  <cols>
    <col min="1" max="1" width="48.85546875" style="1"/>
    <col min="2" max="3" width="48.85546875" style="2"/>
    <col min="4" max="1025" width="8.5703125"/>
  </cols>
  <sheetData>
    <row r="1" spans="1:3" ht="15.75" customHeight="1" x14ac:dyDescent="0.25">
      <c r="A1" s="3" t="s">
        <v>1</v>
      </c>
      <c r="B1" s="4" t="s">
        <v>81</v>
      </c>
      <c r="C1" s="5"/>
    </row>
    <row r="2" spans="1:3" s="9" customFormat="1" ht="15" customHeight="1" x14ac:dyDescent="0.25">
      <c r="A2" s="6" t="s">
        <v>2</v>
      </c>
      <c r="B2" s="7">
        <v>6</v>
      </c>
      <c r="C2" s="8"/>
    </row>
    <row r="3" spans="1:3" s="13" customFormat="1" ht="15" customHeight="1" x14ac:dyDescent="0.25">
      <c r="A3" s="10" t="s">
        <v>3</v>
      </c>
      <c r="B3" s="11" t="s">
        <v>82</v>
      </c>
      <c r="C3" s="12" t="s">
        <v>83</v>
      </c>
    </row>
    <row r="4" spans="1:3" s="9" customFormat="1" ht="15" customHeight="1" x14ac:dyDescent="0.25">
      <c r="A4" s="6" t="s">
        <v>4</v>
      </c>
      <c r="B4" s="11" t="s">
        <v>79</v>
      </c>
      <c r="C4" s="12" t="s">
        <v>80</v>
      </c>
    </row>
    <row r="5" spans="1:3" s="13" customFormat="1" ht="15" customHeight="1" x14ac:dyDescent="0.25">
      <c r="A5" s="10" t="s">
        <v>0</v>
      </c>
      <c r="B5" s="11" t="s">
        <v>84</v>
      </c>
      <c r="C5" s="12" t="s">
        <v>85</v>
      </c>
    </row>
    <row r="6" spans="1:3" s="9" customFormat="1" ht="15" customHeight="1" x14ac:dyDescent="0.25">
      <c r="A6" s="6" t="s">
        <v>5</v>
      </c>
      <c r="B6" s="7" t="s">
        <v>6</v>
      </c>
      <c r="C6" s="8"/>
    </row>
    <row r="7" spans="1:3" s="13" customFormat="1" ht="15" customHeight="1" x14ac:dyDescent="0.25">
      <c r="A7" s="10" t="s">
        <v>7</v>
      </c>
      <c r="B7" s="11"/>
      <c r="C7" s="12"/>
    </row>
    <row r="8" spans="1:3" s="9" customFormat="1" ht="15" customHeight="1" x14ac:dyDescent="0.25">
      <c r="A8" s="6" t="s">
        <v>8</v>
      </c>
      <c r="B8" s="7"/>
      <c r="C8" s="8"/>
    </row>
    <row r="9" spans="1:3" s="13" customFormat="1" ht="15" customHeight="1" x14ac:dyDescent="0.25">
      <c r="A9" s="10" t="s">
        <v>9</v>
      </c>
      <c r="B9" s="11"/>
      <c r="C9" s="12"/>
    </row>
    <row r="10" spans="1:3" ht="15" customHeight="1" x14ac:dyDescent="0.25">
      <c r="A10" s="14"/>
      <c r="B10" s="15"/>
      <c r="C10" s="16"/>
    </row>
    <row r="11" spans="1:3" ht="15" customHeight="1" x14ac:dyDescent="0.25">
      <c r="A11" s="17" t="s">
        <v>10</v>
      </c>
      <c r="B11" s="18" t="s">
        <v>11</v>
      </c>
      <c r="C11" s="19" t="s">
        <v>12</v>
      </c>
    </row>
    <row r="12" spans="1:3" s="57" customFormat="1" ht="15" customHeight="1" x14ac:dyDescent="0.25">
      <c r="A12" s="50" t="s">
        <v>88</v>
      </c>
      <c r="B12" s="51" t="str">
        <f>CONCATENATE(TEXT('Crank-Main'!D2*25.4,"0.0000")," mm")</f>
        <v>59.9805 mm</v>
      </c>
      <c r="C12" s="52" t="str">
        <f>CONCATENATE(TEXT('Crank-Main'!D2, "0.00000"), " inch")</f>
        <v>2.36144 inch</v>
      </c>
    </row>
    <row r="13" spans="1:3" s="58" customFormat="1" ht="15" customHeight="1" x14ac:dyDescent="0.25">
      <c r="A13" s="53" t="s">
        <v>89</v>
      </c>
      <c r="B13" s="54" t="str">
        <f>CONCATENATE(TEXT('Crank-Main'!C2*25.4, "0.0000"), " - ", TEXT('Crank-Main'!E2*25.4, "0.0000"), " mm")</f>
        <v>59.9710 - 59.9900 mm</v>
      </c>
      <c r="C13" s="55" t="str">
        <f>CONCATENATE(TEXT('Crank-Main'!C2, "0.00000"), " - ", TEXT('Crank-Main'!E2, "0.00000"), " inch")</f>
        <v>2.36106 - 2.36181 inch</v>
      </c>
    </row>
    <row r="14" spans="1:3" s="57" customFormat="1" ht="15" customHeight="1" x14ac:dyDescent="0.25">
      <c r="A14" s="50" t="s">
        <v>90</v>
      </c>
      <c r="B14" s="51" t="str">
        <f>CONCATENATE(TEXT('Crank-Main'!F2*25.4, "0.0000"), ", ", TEXT('Crank-Main'!G2*25.4, "+0.0000"), " mm")</f>
        <v>-0.0095, +0.0095 mm</v>
      </c>
      <c r="C14" s="52" t="str">
        <f>CONCATENATE(TEXT('Crank-Main'!F2, "0.00000"), ", ", TEXT('Crank-Main'!G2, "+0.00000"), " inch")</f>
        <v>-0.00037, +0.00037 inch</v>
      </c>
    </row>
    <row r="15" spans="1:3" s="58" customFormat="1" ht="15" customHeight="1" x14ac:dyDescent="0.25">
      <c r="A15" s="53" t="s">
        <v>91</v>
      </c>
      <c r="B15" s="51" t="str">
        <f>CONCATENATE(TEXT('Crank-Main'!D5*25.4,"0.0000")," mm")</f>
        <v>0.0000 mm</v>
      </c>
      <c r="C15" s="52" t="str">
        <f>CONCATENATE(TEXT('Crank-Main'!D5, "0.00000"), " inch")</f>
        <v>0.00000 inch</v>
      </c>
    </row>
    <row r="16" spans="1:3" s="57" customFormat="1" ht="15" customHeight="1" x14ac:dyDescent="0.25">
      <c r="A16" s="50" t="s">
        <v>92</v>
      </c>
      <c r="B16" s="54" t="str">
        <f>CONCATENATE(TEXT('Crank-Main'!C5*25.4, "0.0000"), " - ", TEXT('Crank-Main'!E5*25.4, "0.0000"), " mm")</f>
        <v>0.0000 - 0.0000 mm</v>
      </c>
      <c r="C16" s="55" t="str">
        <f>CONCATENATE(TEXT('Crank-Main'!C5, "0.00000"), " - ", TEXT('Crank-Main'!E5, "0.00000"), " inch")</f>
        <v>0.00000 - 0.00000 inch</v>
      </c>
    </row>
    <row r="17" spans="1:3" s="58" customFormat="1" ht="15" customHeight="1" x14ac:dyDescent="0.25">
      <c r="A17" s="53" t="s">
        <v>93</v>
      </c>
      <c r="B17" s="51" t="str">
        <f>CONCATENATE(TEXT('Crank-Main'!F5*25.4, "0.0000"), ", ", TEXT('Crank-Main'!G5*25.4, "+0.0000"), " mm")</f>
        <v>0.0000, +0.0000 mm</v>
      </c>
      <c r="C17" s="52" t="str">
        <f>CONCATENATE(TEXT('Crank-Main'!F5, "0.00000"), ", ", TEXT('Crank-Main'!G5, "+0.00000"), " inch")</f>
        <v>0.00000, +0.00000 inch</v>
      </c>
    </row>
    <row r="18" spans="1:3" s="57" customFormat="1" ht="15" customHeight="1" x14ac:dyDescent="0.25">
      <c r="A18" s="50" t="s">
        <v>13</v>
      </c>
      <c r="B18" s="51" t="e">
        <f>CONCATENATE(TEXT('Crank-Main'!T4*25.4, "0.0000"), " - ", TEXT('Crank-Main'!V4*25.4, "0.0000"), " mm")</f>
        <v>#REF!</v>
      </c>
      <c r="C18" s="52" t="e">
        <f>CONCATENATE(TEXT('Crank-Main'!T4, "0.00000"), " - ", TEXT('Crank-Main'!V4, "0.00000"), " inch")</f>
        <v>#REF!</v>
      </c>
    </row>
    <row r="19" spans="1:3" s="57" customFormat="1" ht="15" customHeight="1" x14ac:dyDescent="0.25">
      <c r="A19" s="50" t="s">
        <v>32</v>
      </c>
      <c r="B19" s="51" t="e">
        <f>CONCATENATE(TEXT('Crank-Main'!W4*25.4, "0.0000"), ", ", TEXT('Crank-Main'!X4*25.4, "+0.0000"), " mm")</f>
        <v>#REF!</v>
      </c>
      <c r="C19" s="52" t="e">
        <f>CONCATENATE(TEXT('Crank-Main'!W4, "0.00000"), ", ", TEXT('Crank-Main'!X4, "+0.00000"), " inch")</f>
        <v>#REF!</v>
      </c>
    </row>
    <row r="20" spans="1:3" s="9" customFormat="1" ht="15" customHeight="1" x14ac:dyDescent="0.25">
      <c r="A20" s="14"/>
      <c r="B20" s="15"/>
      <c r="C20" s="16"/>
    </row>
    <row r="21" spans="1:3" ht="15" customHeight="1" x14ac:dyDescent="0.25">
      <c r="A21" s="17" t="s">
        <v>14</v>
      </c>
      <c r="B21" s="18" t="s">
        <v>11</v>
      </c>
      <c r="C21" s="19" t="s">
        <v>12</v>
      </c>
    </row>
    <row r="22" spans="1:3" s="9" customFormat="1" ht="15" customHeight="1" x14ac:dyDescent="0.25">
      <c r="A22" s="6" t="s">
        <v>15</v>
      </c>
      <c r="B22" s="7" t="str">
        <f>CONCATENATE(TEXT('Rod Journals'!E2*25.4,"0.0000"), "mm")</f>
        <v>48.9830mm</v>
      </c>
      <c r="C22" s="8" t="str">
        <f>CONCATENATE(TEXT('Rod Journals'!E2, "0.00000"), " inch")</f>
        <v>1.92846 inch</v>
      </c>
    </row>
    <row r="23" spans="1:3" s="13" customFormat="1" ht="15" customHeight="1" x14ac:dyDescent="0.25">
      <c r="A23" s="10" t="s">
        <v>16</v>
      </c>
      <c r="B23" s="11" t="str">
        <f>CONCATENATE(TEXT('Rod Journals'!D2*25.4, "0.0000"), " - ", TEXT('Rod Journals'!F2*25.4, "0.0000"), " mm")</f>
        <v>48.9750 - 48.9910 mm</v>
      </c>
      <c r="C23" s="12" t="str">
        <f>CONCATENATE(TEXT('Rod Journals'!D2, "0.00000"), " - ", TEXT('Rod Journals'!F2, "0.00000"), " inch")</f>
        <v>1.92815 - 1.92878 inch</v>
      </c>
    </row>
    <row r="24" spans="1:3" s="9" customFormat="1" ht="15" customHeight="1" x14ac:dyDescent="0.25">
      <c r="A24" s="6" t="s">
        <v>17</v>
      </c>
      <c r="B24" s="20" t="str">
        <f>CONCATENATE(TEXT('Rod Journals'!G2*25.4,"0.0000"),", ",TEXT('Rod Journals'!H2*25.4,"+0.0000")," mm")</f>
        <v>-0.0080, +0.0080 mm</v>
      </c>
      <c r="C24" s="8" t="str">
        <f>CONCATENATE(TEXT('Rod Journals'!G2,"0.00000"),", ",TEXT('Rod Journals'!H2,"+0.00000")," inch")</f>
        <v>-0.00031, +0.00031 inch</v>
      </c>
    </row>
    <row r="25" spans="1:3" s="9" customFormat="1" ht="15" customHeight="1" x14ac:dyDescent="0.25">
      <c r="A25" s="6"/>
      <c r="B25" s="7"/>
      <c r="C25" s="8"/>
    </row>
    <row r="26" spans="1:3" ht="15" customHeight="1" x14ac:dyDescent="0.25">
      <c r="A26" s="17" t="s">
        <v>18</v>
      </c>
      <c r="B26" s="18" t="s">
        <v>11</v>
      </c>
      <c r="C26" s="19" t="s">
        <v>12</v>
      </c>
    </row>
    <row r="27" spans="1:3" s="9" customFormat="1" ht="15" customHeight="1" x14ac:dyDescent="0.25">
      <c r="A27" s="50" t="s">
        <v>19</v>
      </c>
      <c r="B27" s="51" t="str">
        <f>CONCATENATE(TEXT('Connecting Rod Dimensions'!D7*25.4, "0.0000"), " mm")</f>
        <v>0.0000 mm</v>
      </c>
      <c r="C27" s="52" t="str">
        <f>CONCATENATE(TEXT('Connecting Rod Dimensions'!D7, "0.00000"), " inch")</f>
        <v>0.00000 inch</v>
      </c>
    </row>
    <row r="28" spans="1:3" s="56" customFormat="1" ht="15" customHeight="1" x14ac:dyDescent="0.25">
      <c r="A28" s="53" t="s">
        <v>20</v>
      </c>
      <c r="B28" s="54" t="str">
        <f>CONCATENATE(TEXT('Connecting Rod Dimensions'!D8*25.4, "0.0000"), " mm")</f>
        <v>0.0000 mm</v>
      </c>
      <c r="C28" s="55" t="str">
        <f>CONCATENATE(TEXT('Connecting Rod Dimensions'!D8, "0.00000"), " inch")</f>
        <v>0.00000 inch</v>
      </c>
    </row>
    <row r="29" spans="1:3" s="9" customFormat="1" ht="15" customHeight="1" x14ac:dyDescent="0.25">
      <c r="A29" s="50" t="s">
        <v>21</v>
      </c>
      <c r="B29" s="52" t="str">
        <f>CONCATENATE(TEXT('Connecting Rod Dimensions'!B8*25.4, "0.0000"), " - ", TEXT('Connecting Rod Dimensions'!C8*25.4, "0.0000"), " mm")</f>
        <v>0.0000 - 0.0000 mm</v>
      </c>
      <c r="C29" s="52" t="str">
        <f>CONCATENATE(TEXT('Connecting Rod Dimensions'!B8, "0.00000"), " - ", TEXT('Connecting Rod Dimensions'!C8, "0.00000"), " inch")</f>
        <v>0.00000 - 0.00000 inch</v>
      </c>
    </row>
    <row r="30" spans="1:3" s="56" customFormat="1" ht="15" customHeight="1" x14ac:dyDescent="0.25">
      <c r="A30" s="53" t="s">
        <v>22</v>
      </c>
      <c r="B30" s="54" t="str">
        <f>CONCATENATE(TEXT('Connecting Rod Dimensions'!E8*25.4,"0.0000"),", ",TEXT('Connecting Rod Dimensions'!F8*25.4,"+0.0000")," mm")</f>
        <v>0.0000, +0.0000 mm</v>
      </c>
      <c r="C30" s="55" t="str">
        <f>CONCATENATE(TEXT('Connecting Rod Dimensions'!E8,"0.00000"),", ",TEXT('Connecting Rod Dimensions'!F8,"+0.00000")," inch")</f>
        <v>0.00000, +0.00000 inch</v>
      </c>
    </row>
    <row r="31" spans="1:3" s="9" customFormat="1" ht="15" customHeight="1" x14ac:dyDescent="0.25">
      <c r="A31" s="50" t="s">
        <v>23</v>
      </c>
      <c r="B31" s="51" t="str">
        <f>CONCATENATE(TEXT('Connecting Rod Dimensions'!D9*25.4, "0.0000"), " mm")</f>
        <v>0.0000 mm</v>
      </c>
      <c r="C31" s="52" t="str">
        <f>CONCATENATE(TEXT('Connecting Rod Dimensions'!D9, "0.00000"), " inch")</f>
        <v>0.00000 inch</v>
      </c>
    </row>
    <row r="32" spans="1:3" s="56" customFormat="1" ht="15" customHeight="1" x14ac:dyDescent="0.25">
      <c r="A32" s="53" t="s">
        <v>21</v>
      </c>
      <c r="B32" s="54" t="str">
        <f>CONCATENATE(TEXT('Connecting Rod Dimensions'!B9*25.4, "0.0000"), " - ", TEXT('Connecting Rod Dimensions'!C9*25.4, "0.0000"), " mm")</f>
        <v>0.0000 - 0.0000 mm</v>
      </c>
      <c r="C32" s="55" t="str">
        <f>CONCATENATE(TEXT('Connecting Rod Dimensions'!B9, "0.00000"), " - ", TEXT('Connecting Rod Dimensions'!C9, "0.00000"), " inch")</f>
        <v>0.00000 - 0.00000 inch</v>
      </c>
    </row>
    <row r="33" spans="1:3" s="9" customFormat="1" ht="15" customHeight="1" x14ac:dyDescent="0.25">
      <c r="A33" s="50" t="s">
        <v>22</v>
      </c>
      <c r="B33" s="51" t="str">
        <f>CONCATENATE(TEXT('Connecting Rod Dimensions'!E9*25.4,"0.0000"),", ",TEXT('Connecting Rod Dimensions'!F9*25.4,"+0.0000")," mm")</f>
        <v>0.0000, +0.0000 mm</v>
      </c>
      <c r="C33" s="52" t="str">
        <f>CONCATENATE(TEXT('Connecting Rod Dimensions'!E9,"0.00000"),", ",TEXT('Connecting Rod Dimensions'!F9,"+0.00000")," inch")</f>
        <v>0.00000, +0.00000 inch</v>
      </c>
    </row>
    <row r="34" spans="1:3" s="9" customFormat="1" ht="15" customHeight="1" x14ac:dyDescent="0.25">
      <c r="A34" s="6"/>
      <c r="B34" s="7"/>
      <c r="C34" s="8"/>
    </row>
    <row r="35" spans="1:3" ht="15" customHeight="1" x14ac:dyDescent="0.25">
      <c r="A35" s="17" t="s">
        <v>73</v>
      </c>
      <c r="B35" s="18" t="s">
        <v>11</v>
      </c>
      <c r="C35" s="19" t="s">
        <v>12</v>
      </c>
    </row>
    <row r="36" spans="1:3" s="68" customFormat="1" ht="15" customHeight="1" x14ac:dyDescent="0.25">
      <c r="A36" s="65" t="s">
        <v>74</v>
      </c>
      <c r="B36" s="66" t="str">
        <f>CONCATENATE(TEXT('Virgin 439_440'!K11*25.4, "0.0000"), " mm")</f>
        <v>15.8140 mm</v>
      </c>
      <c r="C36" s="67" t="str">
        <f>CONCATENATE(TEXT('Virgin 439_440'!K11, "0.00000"), " inch")</f>
        <v>0.62260 inch</v>
      </c>
    </row>
    <row r="37" spans="1:3" s="9" customFormat="1" ht="15" customHeight="1" x14ac:dyDescent="0.25">
      <c r="A37" s="6" t="s">
        <v>24</v>
      </c>
      <c r="B37" s="7" t="str">
        <f>CONCATENATE(TEXT('Virgin 439_440'!K12*25.4, "0.0000"), " mm")</f>
        <v>1.9990 mm</v>
      </c>
      <c r="C37" s="8" t="str">
        <f>CONCATENATE(TEXT('Virgin 439_440'!K12, "0.00000"), " inch")</f>
        <v>0.07870 inch</v>
      </c>
    </row>
    <row r="38" spans="1:3" s="24" customFormat="1" ht="15" customHeight="1" x14ac:dyDescent="0.25">
      <c r="A38" s="21" t="s">
        <v>25</v>
      </c>
      <c r="B38" s="22" t="str">
        <f>CONCATENATE(TEXT('Virgin 439_440'!K13*25.4, "0.0000"), " mm")</f>
        <v>1.9939 mm</v>
      </c>
      <c r="C38" s="23" t="str">
        <f>CONCATENATE(TEXT('Virgin 439_440'!K13, "0.00000"), " inch")</f>
        <v>0.07850 inch</v>
      </c>
    </row>
    <row r="39" spans="1:3" s="9" customFormat="1" ht="15" customHeight="1" x14ac:dyDescent="0.25">
      <c r="A39" s="6" t="s">
        <v>26</v>
      </c>
      <c r="B39" s="7" t="str">
        <f>CONCATENATE(TEXT('Virgin 439_440'!I12*25.4, "0.0000"), " - ", TEXT('Virgin 439_440'!J12*25.4, "0.0000"), " mm")</f>
        <v>1.9964 - 2.0041 mm</v>
      </c>
      <c r="C39" s="8" t="str">
        <f>CONCATENATE(TEXT('Virgin 439_440'!I12, "0.00000"), " - ", TEXT('Virgin 439_440'!J12, "0.00000"), " inch")</f>
        <v>0.07860 - 0.07890 inch</v>
      </c>
    </row>
    <row r="40" spans="1:3" s="24" customFormat="1" ht="15" customHeight="1" x14ac:dyDescent="0.25">
      <c r="A40" s="21" t="s">
        <v>27</v>
      </c>
      <c r="B40" s="22" t="str">
        <f>CONCATENATE(TEXT('Virgin 439_440'!I13*25.4, "0.0000"), " - ", TEXT('Virgin 439_440'!J13*25.4, "0.0000"), " mm")</f>
        <v>1.9939 - 1.9939 mm</v>
      </c>
      <c r="C40" s="23" t="str">
        <f>CONCATENATE(TEXT('Virgin 439_440'!I13, "0.00000"), " - ", TEXT('Virgin 439_440'!J13, "0.00000"), " inch")</f>
        <v>0.07850 - 0.07850 inch</v>
      </c>
    </row>
    <row r="41" spans="1:3" ht="15" customHeight="1" x14ac:dyDescent="0.25">
      <c r="A41" s="25" t="s">
        <v>28</v>
      </c>
      <c r="B41" s="26" t="str">
        <f>CONCATENATE(TEXT('Virgin 439_440'!L12*25.4, "0.0000"), " - ", TEXT('Virgin 439_440'!M12*25.4, "0.0000"), " mm")</f>
        <v>-0.0025 - 0.0051 mm</v>
      </c>
      <c r="C41" s="26" t="str">
        <f>CONCATENATE(TEXT('Virgin 439_440'!L12, "0.00000"), " - ", TEXT('Virgin 439_440'!M12, "+0.00000"), " inch")</f>
        <v>-0.00010 - +0.00020 inch</v>
      </c>
    </row>
    <row r="42" spans="1:3" s="24" customFormat="1" ht="15" customHeight="1" x14ac:dyDescent="0.25">
      <c r="A42" s="27" t="s">
        <v>29</v>
      </c>
      <c r="B42" s="28" t="str">
        <f>CONCATENATE(TEXT('Virgin 439_440'!L13*25.4, "0.0000"), " - ", TEXT('Virgin 439_440'!M13*25.4, "0.0000"), " mm")</f>
        <v>0.0000 - 0.0000 mm</v>
      </c>
      <c r="C42" s="28" t="str">
        <f>CONCATENATE(TEXT('Virgin 439_440'!L13, "0.00000"), " - ", TEXT('Virgin 439_440'!M13, "+0.00000"), " inch")</f>
        <v>0.00000 - +0.00000 inch</v>
      </c>
    </row>
    <row r="43" spans="1:3" s="9" customFormat="1" ht="15" customHeight="1" x14ac:dyDescent="0.25">
      <c r="A43" s="6"/>
      <c r="B43" s="7"/>
      <c r="C43" s="8"/>
    </row>
    <row r="44" spans="1:3" ht="15" customHeight="1" x14ac:dyDescent="0.25">
      <c r="A44" s="17" t="s">
        <v>94</v>
      </c>
      <c r="B44" s="18" t="s">
        <v>11</v>
      </c>
      <c r="C44" s="19" t="s">
        <v>12</v>
      </c>
    </row>
    <row r="45" spans="1:3" s="9" customFormat="1" ht="15" customHeight="1" x14ac:dyDescent="0.25">
      <c r="A45" s="29" t="s">
        <v>30</v>
      </c>
      <c r="B45" s="7" t="str">
        <f>CONCATENATE(TEXT('Virgin 439_440'!K7*25.4, "0.0000"), " mm")</f>
        <v>49.0364 mm</v>
      </c>
      <c r="C45" s="8" t="str">
        <f>CONCATENATE(TEXT('Virgin 439_440'!K7, "0.00000"), " inch")</f>
        <v>1.93057 inch</v>
      </c>
    </row>
    <row r="46" spans="1:3" s="13" customFormat="1" ht="15" customHeight="1" x14ac:dyDescent="0.25">
      <c r="A46" s="10" t="s">
        <v>38</v>
      </c>
      <c r="B46" s="11" t="str">
        <f>CONCATENATE(TEXT('Virgin 439_440'!I7*25.4, "0.0000"), " - ", TEXT('Virgin 439_440'!J7*25.4, "0.0000"), " mm")</f>
        <v>49.0271 - 49.0411 mm</v>
      </c>
      <c r="C46" s="12" t="str">
        <f>CONCATENATE(TEXT('Virgin 439_440'!I7, "0.00000"), " - ", TEXT('Virgin 439_440'!J7, "0.00000"), " inch")</f>
        <v>1.93020 - 1.93075 inch</v>
      </c>
    </row>
    <row r="47" spans="1:3" s="9" customFormat="1" ht="15" customHeight="1" x14ac:dyDescent="0.25">
      <c r="A47" s="6" t="s">
        <v>31</v>
      </c>
      <c r="B47" s="7" t="str">
        <f>CONCATENATE(TEXT('Virgin 439_440'!K18*25.4, "0.0000"), " mm")</f>
        <v>0.0511 mm</v>
      </c>
      <c r="C47" s="8" t="str">
        <f>CONCATENATE(TEXT('Virgin 439_440'!K18, "0.00000"), " inch")</f>
        <v>0.00201 inch</v>
      </c>
    </row>
    <row r="48" spans="1:3" s="13" customFormat="1" ht="15" customHeight="1" x14ac:dyDescent="0.25">
      <c r="A48" s="10" t="s">
        <v>13</v>
      </c>
      <c r="B48" s="11" t="str">
        <f>CONCATENATE(TEXT('Virgin 439_440'!I18*25.4, "0.0000"), " - ", TEXT('Virgin 439_440'!J18*25.4, "0.0000"), " mm")</f>
        <v>0.0361 - 0.0660 mm</v>
      </c>
      <c r="C48" s="12" t="str">
        <f>CONCATENATE(TEXT('Virgin 439_440'!I18, "0.00000"), " - ", TEXT('Virgin 439_440'!J18, "0.00000"), " inch")</f>
        <v>0.00142 - 0.00260 inch</v>
      </c>
    </row>
    <row r="49" spans="1:3" s="9" customFormat="1" ht="15" customHeight="1" x14ac:dyDescent="0.25">
      <c r="A49" s="29" t="s">
        <v>32</v>
      </c>
      <c r="B49" s="30" t="str">
        <f>CONCATENATE(TEXT('Virgin 439_440'!L18*25.4, "0.0000"), " - ", TEXT('Virgin 439_440'!M18*25.4, "+0.0000"), " mm")</f>
        <v>-0.0150 - +0.0150 mm</v>
      </c>
      <c r="C49" s="30" t="str">
        <f>CONCATENATE(TEXT('Virgin 439_440'!L18, "0.00000"), " - ", TEXT('Virgin 439_440'!M18, "+0.00000"), " inch")</f>
        <v>-0.00059 - +0.00059 inch</v>
      </c>
    </row>
    <row r="50" spans="1:3" s="13" customFormat="1" ht="15" customHeight="1" x14ac:dyDescent="0.25">
      <c r="A50" s="10" t="s">
        <v>33</v>
      </c>
      <c r="B50" s="11"/>
      <c r="C50" s="12" t="str">
        <f>CONCATENATE(TEXT('Virgin 439_440'!K18 /'Rod Journals'!E2, "0.00000"), " inch/inch")</f>
        <v>0.00104 inch/inch</v>
      </c>
    </row>
    <row r="51" spans="1:3" s="9" customFormat="1" ht="15" customHeight="1" x14ac:dyDescent="0.25">
      <c r="A51" s="6" t="s">
        <v>34</v>
      </c>
      <c r="B51" s="7"/>
      <c r="C51" s="8" t="str">
        <f>CONCATENATE(TEXT('Virgin 439_440'!I18 / 'Rod Journals'!F2, "0.00000"), " - ", TEXT('Virgin 439_440'!J18 /'Rod Journals'!D2, "0.00000"), " inch/inch")</f>
        <v>0.00074 - 0.00135 inch/inch</v>
      </c>
    </row>
    <row r="52" spans="1:3" s="13" customFormat="1" ht="15" customHeight="1" x14ac:dyDescent="0.25">
      <c r="A52" s="31" t="s">
        <v>35</v>
      </c>
      <c r="B52" s="32" t="str">
        <f>CONCATENATE(TEXT('Virgin 439_440'!W12*25.4, "0.0000"), " mm")</f>
        <v>0.0127 mm</v>
      </c>
      <c r="C52" s="32" t="str">
        <f>CONCATENATE(TEXT('Virgin 439_440'!W12, "0.00000"), " inch")</f>
        <v>0.00050 inch</v>
      </c>
    </row>
    <row r="53" spans="1:3" ht="15" customHeight="1" x14ac:dyDescent="0.25">
      <c r="A53" s="29" t="s">
        <v>36</v>
      </c>
      <c r="B53" s="30" t="str">
        <f>CONCATENATE(TEXT('Virgin 439_440'!U12*25.4, "0.0000"), " - ", TEXT('Virgin 439_440'!V12*25.4, "0.0000"), " mm")</f>
        <v>0.0076 - 0.0292 mm</v>
      </c>
      <c r="C53" s="30" t="str">
        <f>CONCATENATE(TEXT('Virgin 439_440'!U12, "0.00000"), " - ", TEXT('Virgin 439_440'!V12, "0.00000"), " inch")</f>
        <v>0.00030 - 0.00115 inch</v>
      </c>
    </row>
    <row r="54" spans="1:3" s="13" customFormat="1" ht="15" customHeight="1" x14ac:dyDescent="0.25">
      <c r="A54" s="31" t="s">
        <v>37</v>
      </c>
      <c r="B54" s="32" t="str">
        <f>CONCATENATE(TEXT('Virgin 439_440'!X12*25.4, "0.0000"), " - ", TEXT('Virgin 439_440'!Y12*25.4, "+0.0000"), " mm")</f>
        <v>-0.0051 - +0.0165 mm</v>
      </c>
      <c r="C54" s="32" t="str">
        <f>CONCATENATE(TEXT('Virgin 439_440'!X12, "0.00000"), " - ", TEXT('Virgin 439_440'!Y12, "+0.00000"), " inch")</f>
        <v>-0.00020 - +0.00065 inch</v>
      </c>
    </row>
    <row r="55" spans="1:3" s="9" customFormat="1" ht="15" customHeight="1" x14ac:dyDescent="0.25">
      <c r="A55" s="6"/>
      <c r="B55" s="7"/>
      <c r="C55" s="8"/>
    </row>
    <row r="56" spans="1:3" ht="15" customHeight="1" x14ac:dyDescent="0.25">
      <c r="A56" s="35" t="s">
        <v>40</v>
      </c>
      <c r="B56" s="36"/>
      <c r="C56" s="37"/>
    </row>
    <row r="57" spans="1:3" s="9" customFormat="1" ht="15" customHeight="1" x14ac:dyDescent="0.25">
      <c r="A57" s="17" t="s">
        <v>65</v>
      </c>
      <c r="B57" s="18" t="s">
        <v>11</v>
      </c>
      <c r="C57" s="19" t="s">
        <v>12</v>
      </c>
    </row>
    <row r="58" spans="1:3" s="34" customFormat="1" ht="12.75" customHeight="1" x14ac:dyDescent="0.2">
      <c r="A58" s="6" t="s">
        <v>66</v>
      </c>
      <c r="B58" s="7" t="str">
        <f>CONCATENATE(TEXT('BEB SP1534HK'!K12*25.4, "0.0000"), " mm")</f>
        <v>1.9863 mm</v>
      </c>
      <c r="C58" s="8" t="str">
        <f>CONCATENATE(TEXT('BEB SP1534HK'!K12, "0.00000"), " inch")</f>
        <v>0.07820 inch</v>
      </c>
    </row>
    <row r="59" spans="1:3" s="33" customFormat="1" ht="12.75" customHeight="1" x14ac:dyDescent="0.2">
      <c r="A59" s="21" t="s">
        <v>67</v>
      </c>
      <c r="B59" s="22" t="str">
        <f>CONCATENATE(TEXT('BEB SP1534HK'!I12*25.4, "0.0000"), " - ", TEXT('BEB SP1534HK'!J12*25.4, "0.0000"), " mm")</f>
        <v>1.9799 - 1.9901 mm</v>
      </c>
      <c r="C59" s="23" t="str">
        <f>CONCATENATE(TEXT('BEB SP1534HK'!I12, "0.00000"), " - ", TEXT('BEB SP1534HK'!J12, "0.00000"), " inch")</f>
        <v>0.07795 - 0.07835 inch</v>
      </c>
    </row>
    <row r="60" spans="1:3" s="34" customFormat="1" ht="12.75" customHeight="1" x14ac:dyDescent="0.2">
      <c r="A60" s="29" t="s">
        <v>68</v>
      </c>
      <c r="B60" s="30" t="str">
        <f>CONCATENATE(TEXT('BEB SP1534HK'!L12*25.4, "0.0000"), " - ", TEXT('BEB SP1534HK'!M12*25.4, "0.0000"), " mm")</f>
        <v>-0.0064 - 0.0038 mm</v>
      </c>
      <c r="C60" s="30" t="str">
        <f>CONCATENATE(TEXT('BEB SP1534HK'!L12, "0.00000"), " - ", TEXT('BEB SP1534HK'!M12, "+0.00000"), " inch")</f>
        <v>-0.00025 - +0.00015 inch</v>
      </c>
    </row>
    <row r="61" spans="1:3" s="9" customFormat="1" ht="15" customHeight="1" x14ac:dyDescent="0.25">
      <c r="A61" s="6"/>
      <c r="B61" s="7"/>
      <c r="C61" s="8"/>
    </row>
    <row r="62" spans="1:3" s="9" customFormat="1" ht="15" customHeight="1" x14ac:dyDescent="0.25">
      <c r="A62" s="17" t="s">
        <v>64</v>
      </c>
      <c r="B62" s="18" t="s">
        <v>11</v>
      </c>
      <c r="C62" s="19" t="s">
        <v>12</v>
      </c>
    </row>
    <row r="63" spans="1:3" s="9" customFormat="1" ht="15" customHeight="1" x14ac:dyDescent="0.25">
      <c r="A63" s="29" t="s">
        <v>30</v>
      </c>
      <c r="B63" s="7" t="str">
        <f>CONCATENATE(TEXT('BEB SP1534HK'!K7*25.4, "0.0000"), " mm")</f>
        <v>49.0487 mm</v>
      </c>
      <c r="C63" s="8" t="str">
        <f>CONCATENATE(TEXT('BEB SP1534HK'!K7, "0.00000"), " inch")</f>
        <v>1.93105 inch</v>
      </c>
    </row>
    <row r="64" spans="1:3" s="13" customFormat="1" ht="15" customHeight="1" x14ac:dyDescent="0.25">
      <c r="A64" s="10" t="s">
        <v>38</v>
      </c>
      <c r="B64" s="11" t="str">
        <f>CONCATENATE(TEXT('BEB SP1534HK'!I7*25.4, "0.0000"), " - ", TEXT('BEB SP1534HK'!J7*25.4, "0.0000"), " mm")</f>
        <v>49.0423 - 49.0525 mm</v>
      </c>
      <c r="C64" s="12" t="str">
        <f>CONCATENATE(TEXT('BEB SP1534HK'!I7, "0.00000"), " - ", TEXT('BEB SP1534HK'!J7, "0.00000"), " inch")</f>
        <v>1.93080 - 1.93120 inch</v>
      </c>
    </row>
    <row r="65" spans="1:3" s="9" customFormat="1" ht="15" customHeight="1" x14ac:dyDescent="0.25">
      <c r="A65" s="6" t="s">
        <v>31</v>
      </c>
      <c r="B65" s="7" t="str">
        <f>CONCATENATE(TEXT('BEB SP1534HK'!K16*25.4, "0.0000"), " mm")</f>
        <v>0.0644 mm</v>
      </c>
      <c r="C65" s="8" t="str">
        <f>CONCATENATE(TEXT('BEB SP1534HK'!K16, "0.00000"), " inch")</f>
        <v>0.00254 inch</v>
      </c>
    </row>
    <row r="66" spans="1:3" s="13" customFormat="1" ht="15" customHeight="1" x14ac:dyDescent="0.25">
      <c r="A66" s="10" t="s">
        <v>13</v>
      </c>
      <c r="B66" s="11" t="str">
        <f>CONCATENATE(TEXT('BEB SP1534HK'!I16*25.4, "0.0000"), " - ", TEXT('BEB SP1534HK'!J16*25.4, "0.0000"), " mm")</f>
        <v>0.0513 - 0.0775 mm</v>
      </c>
      <c r="C66" s="12" t="str">
        <f>CONCATENATE(TEXT('BEB SP1534HK'!I16, "0.00000"), " - ", TEXT('BEB SP1534HK'!J16, "0.00000"), " inch")</f>
        <v>0.00202 - 0.00305 inch</v>
      </c>
    </row>
    <row r="67" spans="1:3" s="9" customFormat="1" ht="15" customHeight="1" x14ac:dyDescent="0.25">
      <c r="A67" s="29" t="s">
        <v>32</v>
      </c>
      <c r="B67" s="30" t="str">
        <f>CONCATENATE(TEXT('BEB SP1534HK'!L16*25.4, "0.0000"), " - ", TEXT('BEB SP1534HK'!M16*25.4, "+0.0000"), " mm")</f>
        <v>-0.0131 - +0.0131 mm</v>
      </c>
      <c r="C67" s="30" t="str">
        <f>CONCATENATE(TEXT('BEB SP1534HK'!L16, "0.00000"), " - ", TEXT('BEB SP1534HK'!M16, "+0.00000"), " inch")</f>
        <v>-0.00051 - +0.00051 inch</v>
      </c>
    </row>
    <row r="68" spans="1:3" s="13" customFormat="1" ht="15" customHeight="1" x14ac:dyDescent="0.25">
      <c r="A68" s="10" t="s">
        <v>33</v>
      </c>
      <c r="B68" s="11"/>
      <c r="C68" s="12" t="str">
        <f>CONCATENATE(TEXT('BEB SP1534HK'!K16 /'Rod Journals'!E2, "0.00000"), " inch/inch")</f>
        <v>0.00131 inch/inch</v>
      </c>
    </row>
    <row r="69" spans="1:3" s="9" customFormat="1" ht="15" customHeight="1" x14ac:dyDescent="0.25">
      <c r="A69" s="6" t="s">
        <v>39</v>
      </c>
      <c r="B69" s="7"/>
      <c r="C69" s="8" t="str">
        <f>CONCATENATE(TEXT('BEB SP1534HK'!I16 / 'Rod Journals'!F2, "0.00000"), " - ", TEXT('BEB SP1534HK'!J16 /'Rod Journals'!D2, "0.00000"), " inch/inch")</f>
        <v>0.00105 - 0.00158 inch/inch</v>
      </c>
    </row>
    <row r="70" spans="1:3" s="13" customFormat="1" ht="15" customHeight="1" x14ac:dyDescent="0.25">
      <c r="A70" s="31" t="s">
        <v>35</v>
      </c>
      <c r="B70" s="32" t="str">
        <f>CONCATENATE(TEXT('BEB SP1534HK'!W12*25.4, "0.0000"), " mm")</f>
        <v>0.0356 mm</v>
      </c>
      <c r="C70" s="32" t="str">
        <f>CONCATENATE(TEXT('BEB SP1534HK'!W12, "0.00000"), " inch")</f>
        <v>0.00140 inch</v>
      </c>
    </row>
    <row r="71" spans="1:3" s="9" customFormat="1" ht="15" customHeight="1" x14ac:dyDescent="0.25">
      <c r="A71" s="29" t="s">
        <v>36</v>
      </c>
      <c r="B71" s="30" t="str">
        <f>CONCATENATE(TEXT('BEB SP1534HK'!U12*25.4, "0.0000"), " - ", TEXT('BEB SP1534HK'!V12*25.4, "0.0000"), " mm")</f>
        <v>0.0305 - 0.0508 mm</v>
      </c>
      <c r="C71" s="30" t="str">
        <f>CONCATENATE(TEXT('BEB SP1534HK'!U12, "0.00000"), " - ", TEXT('BEB SP1534HK'!V12, "0.00000"), " inch")</f>
        <v>0.00120 - 0.00200 inch</v>
      </c>
    </row>
    <row r="72" spans="1:3" s="13" customFormat="1" ht="15" customHeight="1" x14ac:dyDescent="0.25">
      <c r="A72" s="31" t="s">
        <v>37</v>
      </c>
      <c r="B72" s="32" t="str">
        <f>CONCATENATE(TEXT('BEB SP1534HK'!X12*25.4, "0.0000"), " - ", TEXT('BEB SP1534HK'!Y12*25.4, "+0.0000"), " mm")</f>
        <v>-0.0051 - +0.0152 mm</v>
      </c>
      <c r="C72" s="32" t="str">
        <f>CONCATENATE(TEXT('BEB SP1534HK'!X12, "0.00000"), " - ", TEXT('BEB SP1534HK'!Y12, "+0.00000"), " inch")</f>
        <v>-0.00020 - +0.00060 inch</v>
      </c>
    </row>
    <row r="73" spans="1:3" s="9" customFormat="1" ht="15" customHeight="1" x14ac:dyDescent="0.25">
      <c r="A73" s="6"/>
      <c r="B73" s="7"/>
      <c r="C73" s="8"/>
    </row>
    <row r="74" spans="1:3" ht="15" customHeight="1" x14ac:dyDescent="0.25"/>
    <row r="75" spans="1:3" ht="15" customHeight="1" x14ac:dyDescent="0.25"/>
    <row r="76" spans="1:3" ht="15" customHeight="1" x14ac:dyDescent="0.25"/>
    <row r="77" spans="1:3" ht="15" customHeight="1" x14ac:dyDescent="0.25"/>
    <row r="65516" ht="15" customHeight="1" x14ac:dyDescent="0.25"/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K1"/>
  <sheetViews>
    <sheetView zoomScaleNormal="100" workbookViewId="0">
      <selection sqref="A1:XFD1048576"/>
    </sheetView>
  </sheetViews>
  <sheetFormatPr defaultRowHeight="15" x14ac:dyDescent="0.25"/>
  <cols>
    <col min="1" max="5" width="9.140625" style="38"/>
    <col min="6" max="7" width="9.140625" style="39"/>
    <col min="8" max="8" width="9.140625" style="38"/>
    <col min="9" max="1025" width="9.140625" style="40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"/>
  <sheetViews>
    <sheetView workbookViewId="0">
      <selection activeCell="E3" sqref="E3"/>
    </sheetView>
  </sheetViews>
  <sheetFormatPr defaultRowHeight="15" x14ac:dyDescent="0.25"/>
  <sheetData>
    <row r="1" spans="1:24" x14ac:dyDescent="0.25">
      <c r="A1" s="9"/>
      <c r="B1" s="9"/>
      <c r="C1" s="9" t="s">
        <v>53</v>
      </c>
      <c r="D1" s="9" t="s">
        <v>76</v>
      </c>
      <c r="E1" s="9" t="s">
        <v>49</v>
      </c>
      <c r="F1" s="9" t="s">
        <v>51</v>
      </c>
      <c r="G1" s="9" t="s">
        <v>52</v>
      </c>
      <c r="I1" s="9"/>
      <c r="J1" s="9"/>
      <c r="K1" s="9"/>
      <c r="N1" s="9"/>
      <c r="O1" s="9"/>
      <c r="P1" s="9"/>
      <c r="R1" s="9"/>
      <c r="S1" s="9"/>
      <c r="T1" s="9" t="s">
        <v>53</v>
      </c>
      <c r="U1" s="9" t="s">
        <v>76</v>
      </c>
      <c r="V1" s="9" t="s">
        <v>49</v>
      </c>
      <c r="W1" s="9" t="s">
        <v>51</v>
      </c>
      <c r="X1" s="9" t="s">
        <v>52</v>
      </c>
    </row>
    <row r="2" spans="1:24" x14ac:dyDescent="0.25">
      <c r="A2" s="9" t="s">
        <v>77</v>
      </c>
      <c r="B2" s="9" t="s">
        <v>86</v>
      </c>
      <c r="C2" s="46">
        <v>2.36106299212598</v>
      </c>
      <c r="D2" s="46">
        <f>AVERAGE(C2,E2)</f>
        <v>2.3614370078740103</v>
      </c>
      <c r="E2" s="46">
        <v>2.3618110236220402</v>
      </c>
      <c r="F2" s="46">
        <f>C2-D2</f>
        <v>-3.7401574803030968E-4</v>
      </c>
      <c r="G2" s="46">
        <f>E2-D2</f>
        <v>3.7401574802986559E-4</v>
      </c>
      <c r="H2" s="46"/>
      <c r="I2" s="46"/>
      <c r="J2" s="46"/>
      <c r="K2" s="46"/>
      <c r="L2" s="46"/>
      <c r="M2" s="46"/>
      <c r="N2" s="46"/>
      <c r="O2" s="46"/>
      <c r="P2" s="46"/>
      <c r="R2" s="9" t="s">
        <v>77</v>
      </c>
      <c r="S2" s="9"/>
      <c r="T2" s="46">
        <v>2.36106299212598</v>
      </c>
      <c r="U2" s="46">
        <f>AVERAGE(T2,V2)</f>
        <v>2.3614370078740103</v>
      </c>
      <c r="V2" s="46">
        <v>2.3618110236220402</v>
      </c>
      <c r="W2" s="46">
        <f>T2-U2</f>
        <v>-3.7401574803030968E-4</v>
      </c>
      <c r="X2" s="46">
        <f>V2-U2</f>
        <v>3.7401574802986559E-4</v>
      </c>
    </row>
    <row r="3" spans="1:24" x14ac:dyDescent="0.25">
      <c r="A3" s="9" t="s">
        <v>78</v>
      </c>
      <c r="B3" s="9" t="s">
        <v>87</v>
      </c>
      <c r="C3" s="46" t="e">
        <f>MIN(#REF!)</f>
        <v>#REF!</v>
      </c>
      <c r="D3" s="46" t="e">
        <f>MROUND(AVERAGE(#REF!),0.00005)</f>
        <v>#REF!</v>
      </c>
      <c r="E3" s="46" t="e">
        <f>MAX(#REF!)</f>
        <v>#REF!</v>
      </c>
      <c r="F3" s="46" t="e">
        <f>C3-D3</f>
        <v>#REF!</v>
      </c>
      <c r="G3" s="46" t="e">
        <f>E3-D3</f>
        <v>#REF!</v>
      </c>
      <c r="H3" s="46"/>
      <c r="I3" s="46"/>
      <c r="J3" s="46"/>
      <c r="K3" s="46"/>
      <c r="L3" s="46"/>
      <c r="M3" s="46"/>
      <c r="N3" s="46"/>
      <c r="O3" s="46"/>
      <c r="P3" s="46"/>
      <c r="R3" s="9" t="s">
        <v>78</v>
      </c>
      <c r="S3" s="9"/>
      <c r="T3" s="46" t="e">
        <f>MIN(G2:K3)</f>
        <v>#REF!</v>
      </c>
      <c r="U3" s="46" t="e">
        <f>MROUND(AVERAGE(G2:K3),0.00005)</f>
        <v>#REF!</v>
      </c>
      <c r="V3" s="46" t="e">
        <f>MAX(G2:K3)</f>
        <v>#REF!</v>
      </c>
      <c r="W3" s="46" t="e">
        <f>T3-U3</f>
        <v>#REF!</v>
      </c>
      <c r="X3" s="46" t="e">
        <f>V3-U3</f>
        <v>#REF!</v>
      </c>
    </row>
    <row r="4" spans="1:24" x14ac:dyDescent="0.25">
      <c r="A4" s="9" t="s">
        <v>57</v>
      </c>
      <c r="B4" s="9"/>
      <c r="C4" s="46" t="e">
        <f>MIN(#REF!)-MAX(#REF!)</f>
        <v>#REF!</v>
      </c>
      <c r="D4" s="46" t="e">
        <f>MROUND(AVERAGE(#REF!),0.00005)</f>
        <v>#REF!</v>
      </c>
      <c r="E4" s="46" t="e">
        <f>MAX(#REF!)-MIN(#REF!)</f>
        <v>#REF!</v>
      </c>
      <c r="F4" s="46" t="e">
        <f>C4-D4</f>
        <v>#REF!</v>
      </c>
      <c r="G4" s="46" t="e">
        <f>E4-D4</f>
        <v>#REF!</v>
      </c>
      <c r="R4" s="9" t="s">
        <v>57</v>
      </c>
      <c r="S4" s="9"/>
      <c r="T4" s="46" t="e">
        <f>MIN(G2:K3)-MAX(B2:F3)</f>
        <v>#REF!</v>
      </c>
      <c r="U4" s="46" t="e">
        <f>MROUND(AVERAGE(L2:P3),0.00005)</f>
        <v>#DIV/0!</v>
      </c>
      <c r="V4" s="46" t="e">
        <f>MAX(G2:K3)-MIN(B2:F3)</f>
        <v>#REF!</v>
      </c>
      <c r="W4" s="46" t="e">
        <f>T4-U4</f>
        <v>#REF!</v>
      </c>
      <c r="X4" s="46" t="e">
        <f>V4-U4</f>
        <v>#REF!</v>
      </c>
    </row>
    <row r="5" spans="1:24" x14ac:dyDescent="0.25">
      <c r="H5" s="9"/>
      <c r="I5" s="9"/>
      <c r="J5" s="9"/>
      <c r="K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ML36"/>
  <sheetViews>
    <sheetView topLeftCell="B1" zoomScaleNormal="100" workbookViewId="0">
      <selection activeCell="E2" sqref="E2"/>
    </sheetView>
  </sheetViews>
  <sheetFormatPr defaultRowHeight="15" x14ac:dyDescent="0.25"/>
  <cols>
    <col min="1" max="1" width="48.85546875"/>
    <col min="2" max="2" width="11.7109375" style="9" bestFit="1" customWidth="1"/>
    <col min="3" max="10" width="9.140625" style="42"/>
    <col min="11" max="15" width="10.7109375" style="43"/>
    <col min="16" max="1026" width="9.140625" style="9"/>
  </cols>
  <sheetData>
    <row r="1" spans="2:18" ht="15" customHeight="1" x14ac:dyDescent="0.25">
      <c r="C1" s="9"/>
      <c r="D1" s="9" t="s">
        <v>53</v>
      </c>
      <c r="E1" s="9" t="s">
        <v>76</v>
      </c>
      <c r="F1" s="9" t="s">
        <v>49</v>
      </c>
      <c r="G1" s="9" t="s">
        <v>51</v>
      </c>
      <c r="H1" s="9" t="s">
        <v>52</v>
      </c>
      <c r="I1" s="48"/>
      <c r="J1" s="48"/>
      <c r="M1" s="44"/>
      <c r="N1" s="44"/>
      <c r="O1" s="44"/>
      <c r="P1" s="44"/>
      <c r="Q1" s="44"/>
    </row>
    <row r="2" spans="2:18" ht="15" customHeight="1" x14ac:dyDescent="0.25">
      <c r="B2" s="9" t="s">
        <v>95</v>
      </c>
      <c r="C2" s="9"/>
      <c r="D2" s="46">
        <f>(49-0.025)/25.4</f>
        <v>1.9281496062992127</v>
      </c>
      <c r="E2" s="46">
        <f>AVERAGE(D2,F2)</f>
        <v>1.9284645669291338</v>
      </c>
      <c r="F2" s="46">
        <f>(49-0.009)/25.4</f>
        <v>1.9287795275590551</v>
      </c>
      <c r="G2" s="46">
        <f>D2-E2</f>
        <v>-3.1496062992109053E-4</v>
      </c>
      <c r="H2" s="46">
        <f>F2-E2</f>
        <v>3.1496062992131257E-4</v>
      </c>
      <c r="I2" s="48"/>
      <c r="J2" s="48"/>
      <c r="M2" s="45"/>
      <c r="N2" s="45"/>
      <c r="O2" s="45"/>
      <c r="P2" s="45"/>
      <c r="Q2" s="45"/>
      <c r="R2" s="46"/>
    </row>
    <row r="3" spans="2:18" ht="15" customHeight="1" x14ac:dyDescent="0.25">
      <c r="B3" s="9" t="s">
        <v>78</v>
      </c>
      <c r="C3" s="9"/>
      <c r="D3" s="46">
        <f>(49-0.009+0.03)/25.4</f>
        <v>1.9299606299212599</v>
      </c>
      <c r="E3" s="46">
        <f>AVERAGE(D3,F3)</f>
        <v>1.9304330708661419</v>
      </c>
      <c r="F3" s="46">
        <f>(49-0.025+0.07)/25.4</f>
        <v>1.9309055118110239</v>
      </c>
      <c r="G3" s="46">
        <f>D3-E3</f>
        <v>-4.7244094488196886E-4</v>
      </c>
      <c r="H3" s="46">
        <f>F3-E3</f>
        <v>4.7244094488196886E-4</v>
      </c>
      <c r="I3" s="48"/>
      <c r="J3" s="48"/>
      <c r="K3" s="45"/>
      <c r="L3" s="45"/>
      <c r="M3" s="45"/>
      <c r="N3" s="47"/>
      <c r="O3" s="47"/>
      <c r="P3" s="47"/>
      <c r="Q3" s="47"/>
      <c r="R3" s="46"/>
    </row>
    <row r="4" spans="2:18" ht="15" customHeight="1" x14ac:dyDescent="0.25">
      <c r="B4" s="9" t="s">
        <v>57</v>
      </c>
      <c r="C4" s="9"/>
      <c r="D4" s="46">
        <f>D3-F2</f>
        <v>1.1811023622048111E-3</v>
      </c>
      <c r="E4" s="46">
        <f>AVERAGE(D4,F4)</f>
        <v>1.9685039370079815E-3</v>
      </c>
      <c r="F4" s="46">
        <f>F3-D2</f>
        <v>2.755905511811152E-3</v>
      </c>
      <c r="G4" s="46">
        <f>D4-E4</f>
        <v>-7.8740157480317041E-4</v>
      </c>
      <c r="H4" s="46">
        <f>F4-E4</f>
        <v>7.8740157480317041E-4</v>
      </c>
      <c r="I4" s="48"/>
      <c r="J4" s="48"/>
      <c r="K4" s="45"/>
      <c r="M4" s="47"/>
      <c r="N4" s="45"/>
      <c r="O4" s="45"/>
      <c r="P4" s="46"/>
      <c r="Q4" s="46"/>
    </row>
    <row r="5" spans="2:18" x14ac:dyDescent="0.25">
      <c r="B5" s="46"/>
      <c r="C5" s="48"/>
      <c r="D5" s="48"/>
      <c r="E5" s="48"/>
      <c r="F5" s="48"/>
      <c r="G5" s="48"/>
      <c r="H5" s="48"/>
      <c r="I5" s="48"/>
      <c r="J5" s="48"/>
    </row>
    <row r="6" spans="2:18" x14ac:dyDescent="0.25">
      <c r="B6" s="46"/>
      <c r="C6" s="48"/>
      <c r="D6" s="48"/>
      <c r="E6" s="48"/>
      <c r="F6" s="48"/>
      <c r="G6" s="48"/>
      <c r="H6" s="48"/>
      <c r="I6" s="48"/>
      <c r="J6" s="48"/>
    </row>
    <row r="7" spans="2:18" x14ac:dyDescent="0.25">
      <c r="B7" s="46"/>
      <c r="C7" s="48"/>
      <c r="D7" s="48"/>
      <c r="E7" s="48"/>
      <c r="F7" s="48"/>
      <c r="G7" s="48"/>
      <c r="H7" s="48"/>
      <c r="I7" s="48"/>
      <c r="J7" s="48"/>
    </row>
    <row r="8" spans="2:18" ht="15" customHeight="1" x14ac:dyDescent="0.25">
      <c r="B8" s="46"/>
      <c r="C8" s="48"/>
      <c r="D8" s="48"/>
      <c r="E8" s="48"/>
      <c r="F8" s="48"/>
      <c r="G8" s="48"/>
      <c r="H8" s="48"/>
      <c r="I8" s="48"/>
      <c r="J8" s="48"/>
      <c r="K8" s="44"/>
      <c r="N8" s="44"/>
      <c r="O8" s="44"/>
    </row>
    <row r="9" spans="2:18" ht="15" customHeight="1" x14ac:dyDescent="0.25">
      <c r="B9" s="46"/>
      <c r="C9" s="48"/>
      <c r="D9" s="48"/>
      <c r="E9" s="48"/>
      <c r="F9" s="48"/>
      <c r="G9" s="48"/>
      <c r="H9" s="48"/>
      <c r="I9" s="48"/>
      <c r="J9" s="48"/>
      <c r="K9" s="47"/>
      <c r="N9" s="47"/>
      <c r="O9" s="47"/>
    </row>
    <row r="10" spans="2:18" ht="15" customHeight="1" x14ac:dyDescent="0.25">
      <c r="B10" s="46"/>
      <c r="C10" s="48"/>
      <c r="D10" s="48"/>
      <c r="E10" s="48"/>
      <c r="F10" s="48"/>
      <c r="G10" s="48"/>
      <c r="H10" s="48"/>
      <c r="I10" s="48"/>
      <c r="J10" s="48"/>
    </row>
    <row r="11" spans="2:18" ht="15" customHeight="1" x14ac:dyDescent="0.25">
      <c r="B11" s="46"/>
      <c r="C11" s="48"/>
      <c r="D11" s="48"/>
      <c r="E11" s="48"/>
      <c r="F11" s="48"/>
      <c r="G11" s="48"/>
      <c r="H11" s="48"/>
      <c r="I11" s="48"/>
      <c r="J11" s="48"/>
      <c r="Q11" s="46"/>
    </row>
    <row r="12" spans="2:18" ht="15" customHeight="1" x14ac:dyDescent="0.25">
      <c r="B12" s="46"/>
      <c r="C12" s="48"/>
      <c r="D12" s="48"/>
      <c r="E12" s="48"/>
      <c r="F12" s="48"/>
      <c r="G12" s="48"/>
      <c r="H12" s="48"/>
      <c r="I12" s="48"/>
      <c r="J12" s="48"/>
      <c r="Q12" s="46"/>
    </row>
    <row r="13" spans="2:18" ht="15" customHeight="1" x14ac:dyDescent="0.25">
      <c r="B13" s="46"/>
      <c r="C13" s="48"/>
      <c r="D13" s="48"/>
      <c r="E13" s="48"/>
      <c r="F13" s="48"/>
      <c r="G13" s="48"/>
      <c r="H13" s="48"/>
      <c r="I13" s="48"/>
      <c r="J13" s="48"/>
      <c r="L13" s="47"/>
    </row>
    <row r="14" spans="2:18" ht="15" customHeight="1" x14ac:dyDescent="0.25">
      <c r="L14" s="47"/>
    </row>
    <row r="15" spans="2:18" ht="15" customHeight="1" x14ac:dyDescent="0.25">
      <c r="L15" s="47"/>
    </row>
    <row r="16" spans="2:18" ht="15" customHeight="1" x14ac:dyDescent="0.25">
      <c r="L16" s="47"/>
    </row>
    <row r="17" spans="2:15" ht="15" customHeight="1" x14ac:dyDescent="0.25">
      <c r="L17" s="47"/>
    </row>
    <row r="18" spans="2:15" ht="15" customHeight="1" x14ac:dyDescent="0.25">
      <c r="L18" s="47"/>
    </row>
    <row r="19" spans="2:15" ht="15" customHeight="1" x14ac:dyDescent="0.25">
      <c r="L19" s="47"/>
    </row>
    <row r="20" spans="2:15" ht="15" customHeight="1" x14ac:dyDescent="0.25"/>
    <row r="21" spans="2:15" ht="15" customHeight="1" x14ac:dyDescent="0.25"/>
    <row r="24" spans="2:15" x14ac:dyDescent="0.25">
      <c r="K24" s="44"/>
      <c r="L24" s="44"/>
      <c r="M24" s="44"/>
      <c r="N24" s="44"/>
      <c r="O24" s="44"/>
    </row>
    <row r="25" spans="2:15" x14ac:dyDescent="0.25">
      <c r="B25" s="46"/>
      <c r="C25" s="48"/>
      <c r="D25" s="48"/>
      <c r="E25" s="48"/>
      <c r="F25" s="48"/>
      <c r="G25" s="48"/>
      <c r="H25" s="48"/>
      <c r="I25" s="48"/>
      <c r="J25" s="48"/>
      <c r="K25" s="47"/>
      <c r="L25" s="47"/>
      <c r="M25" s="47"/>
      <c r="N25" s="47"/>
      <c r="O25" s="47"/>
    </row>
    <row r="26" spans="2:15" x14ac:dyDescent="0.25">
      <c r="B26" s="46"/>
      <c r="C26" s="48"/>
      <c r="D26" s="48"/>
      <c r="E26" s="48"/>
      <c r="F26" s="48"/>
      <c r="G26" s="48"/>
      <c r="H26" s="48"/>
      <c r="I26" s="48"/>
      <c r="J26" s="48"/>
    </row>
    <row r="27" spans="2:15" x14ac:dyDescent="0.25">
      <c r="B27" s="46"/>
      <c r="C27" s="48"/>
      <c r="D27" s="48"/>
      <c r="E27" s="48"/>
      <c r="F27" s="48"/>
      <c r="G27" s="48"/>
      <c r="H27" s="48"/>
      <c r="I27" s="48"/>
      <c r="J27" s="48"/>
    </row>
    <row r="28" spans="2:15" x14ac:dyDescent="0.25">
      <c r="B28" s="46"/>
      <c r="C28" s="48"/>
      <c r="D28" s="48"/>
      <c r="E28" s="48"/>
      <c r="F28" s="48"/>
      <c r="G28" s="48"/>
      <c r="H28" s="48"/>
      <c r="I28" s="48"/>
      <c r="J28" s="48"/>
      <c r="L28" s="45"/>
      <c r="M28" s="45"/>
    </row>
    <row r="29" spans="2:15" x14ac:dyDescent="0.25">
      <c r="B29" s="46"/>
      <c r="C29" s="48"/>
      <c r="D29" s="48"/>
      <c r="E29" s="48"/>
      <c r="F29" s="48"/>
      <c r="G29" s="48"/>
      <c r="H29" s="48"/>
      <c r="I29" s="48"/>
      <c r="J29" s="48"/>
      <c r="L29" s="47"/>
    </row>
    <row r="30" spans="2:15" x14ac:dyDescent="0.25">
      <c r="B30" s="46"/>
      <c r="C30" s="48"/>
      <c r="D30" s="48"/>
      <c r="E30" s="48"/>
      <c r="F30" s="48"/>
      <c r="G30" s="48"/>
      <c r="H30" s="48"/>
      <c r="I30" s="48"/>
      <c r="J30" s="48"/>
      <c r="L30" s="47"/>
    </row>
    <row r="31" spans="2:15" x14ac:dyDescent="0.25">
      <c r="B31" s="46"/>
      <c r="C31" s="48"/>
      <c r="D31" s="48"/>
      <c r="E31" s="48"/>
      <c r="F31" s="48"/>
      <c r="G31" s="48"/>
      <c r="H31" s="48"/>
      <c r="I31" s="48"/>
      <c r="J31" s="48"/>
      <c r="L31" s="47"/>
    </row>
    <row r="32" spans="2:15" x14ac:dyDescent="0.25">
      <c r="B32" s="46"/>
      <c r="C32" s="48"/>
      <c r="D32" s="48"/>
      <c r="E32" s="48"/>
      <c r="F32" s="48"/>
      <c r="G32" s="48"/>
      <c r="H32" s="48"/>
      <c r="I32" s="48"/>
      <c r="J32" s="48"/>
      <c r="L32" s="47"/>
    </row>
    <row r="33" spans="2:12" x14ac:dyDescent="0.25">
      <c r="B33" s="46"/>
      <c r="C33" s="48"/>
      <c r="D33" s="48"/>
      <c r="E33" s="48"/>
      <c r="F33" s="48"/>
      <c r="G33" s="48"/>
      <c r="H33" s="48"/>
      <c r="I33" s="48"/>
      <c r="J33" s="48"/>
      <c r="L33" s="47"/>
    </row>
    <row r="34" spans="2:12" x14ac:dyDescent="0.25">
      <c r="B34" s="46"/>
      <c r="C34" s="48"/>
      <c r="D34" s="48"/>
      <c r="E34" s="48"/>
      <c r="F34" s="48"/>
      <c r="G34" s="48"/>
      <c r="H34" s="48"/>
      <c r="I34" s="48"/>
      <c r="J34" s="48"/>
      <c r="L34" s="47"/>
    </row>
    <row r="35" spans="2:12" x14ac:dyDescent="0.25">
      <c r="B35" s="46"/>
      <c r="C35" s="48"/>
      <c r="D35" s="48"/>
      <c r="E35" s="48"/>
      <c r="F35" s="48"/>
      <c r="G35" s="48"/>
      <c r="H35" s="48"/>
      <c r="I35" s="48"/>
      <c r="J35" s="48"/>
      <c r="L35" s="47"/>
    </row>
    <row r="36" spans="2:12" x14ac:dyDescent="0.25">
      <c r="B36" s="46"/>
      <c r="C36" s="48"/>
      <c r="D36" s="48"/>
      <c r="E36" s="48"/>
      <c r="F36" s="48"/>
      <c r="G36" s="48"/>
      <c r="H36" s="48"/>
      <c r="I36" s="48"/>
      <c r="J36" s="48"/>
      <c r="L36" s="47"/>
    </row>
  </sheetData>
  <pageMargins left="0.7" right="0.7" top="0.75" bottom="0.75" header="0.51180555555555496" footer="0.51180555555555496"/>
  <pageSetup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5:AR60"/>
  <sheetViews>
    <sheetView zoomScale="85" zoomScaleNormal="85" workbookViewId="0">
      <selection sqref="A1:XFD1048576"/>
    </sheetView>
  </sheetViews>
  <sheetFormatPr defaultRowHeight="15" x14ac:dyDescent="0.25"/>
  <cols>
    <col min="1" max="1" width="16" style="46" customWidth="1"/>
    <col min="2" max="12" width="9.140625" style="46"/>
    <col min="13" max="14" width="9.140625" style="9"/>
    <col min="15" max="16" width="9.140625" style="46"/>
    <col min="17" max="16384" width="9.140625" style="9"/>
  </cols>
  <sheetData>
    <row r="5" spans="2:17" ht="15" customHeight="1" x14ac:dyDescent="0.25">
      <c r="B5" s="41"/>
      <c r="C5" s="41"/>
      <c r="D5" s="41"/>
      <c r="E5" s="41"/>
      <c r="F5" s="41"/>
      <c r="G5" s="41"/>
      <c r="H5" s="41"/>
      <c r="I5" s="41"/>
    </row>
    <row r="6" spans="2:17" ht="15" customHeight="1" x14ac:dyDescent="0.25">
      <c r="B6" s="41"/>
      <c r="C6" s="41"/>
      <c r="D6" s="41"/>
      <c r="E6" s="41"/>
      <c r="F6" s="41"/>
      <c r="G6" s="41"/>
      <c r="H6" s="41"/>
      <c r="I6" s="41"/>
      <c r="N6" s="60"/>
    </row>
    <row r="7" spans="2:17" ht="15" customHeight="1" x14ac:dyDescent="0.25">
      <c r="B7" s="41"/>
      <c r="C7" s="41"/>
      <c r="G7" s="41"/>
      <c r="H7" s="41"/>
      <c r="I7" s="41"/>
      <c r="N7" s="60"/>
    </row>
    <row r="8" spans="2:17" ht="15" customHeight="1" x14ac:dyDescent="0.25">
      <c r="N8" s="60"/>
    </row>
    <row r="9" spans="2:17" ht="15" customHeight="1" x14ac:dyDescent="0.25">
      <c r="J9" s="9"/>
      <c r="K9" s="9"/>
      <c r="L9" s="9"/>
    </row>
    <row r="10" spans="2:17" ht="15" customHeight="1" x14ac:dyDescent="0.25">
      <c r="J10" s="9"/>
      <c r="K10" s="9"/>
      <c r="L10" s="9"/>
    </row>
    <row r="11" spans="2:17" ht="15" customHeight="1" x14ac:dyDescent="0.25">
      <c r="J11" s="9"/>
      <c r="K11" s="9"/>
      <c r="L11" s="9"/>
    </row>
    <row r="12" spans="2:17" ht="15" customHeight="1" x14ac:dyDescent="0.25">
      <c r="Q12" s="46"/>
    </row>
    <row r="13" spans="2:17" ht="15" customHeight="1" x14ac:dyDescent="0.25"/>
    <row r="14" spans="2:17" ht="15" customHeight="1" x14ac:dyDescent="0.25">
      <c r="M14" s="46"/>
      <c r="N14" s="46"/>
    </row>
    <row r="16" spans="2:17" ht="15" customHeight="1" x14ac:dyDescent="0.25"/>
    <row r="17" spans="13:44" ht="15" customHeight="1" x14ac:dyDescent="0.25">
      <c r="M17" s="46"/>
      <c r="N17" s="46"/>
      <c r="Q17" s="46"/>
      <c r="R17" s="46"/>
      <c r="S17" s="46"/>
      <c r="T17" s="46"/>
      <c r="U17" s="46"/>
      <c r="V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</row>
    <row r="18" spans="13:44" ht="15" customHeight="1" x14ac:dyDescent="0.25">
      <c r="M18" s="46"/>
      <c r="N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3:44" ht="15" customHeight="1" x14ac:dyDescent="0.25">
      <c r="M19" s="46"/>
      <c r="N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3:44" ht="15" customHeight="1" x14ac:dyDescent="0.25">
      <c r="M20" s="46"/>
      <c r="N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3:44" ht="15" customHeight="1" x14ac:dyDescent="0.25">
      <c r="O21" s="9"/>
      <c r="P21" s="9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3:44" ht="15" customHeight="1" x14ac:dyDescent="0.25">
      <c r="M22" s="46"/>
      <c r="N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3:44" ht="15" customHeight="1" x14ac:dyDescent="0.25">
      <c r="M23" s="46"/>
      <c r="N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3:44" ht="15" customHeight="1" x14ac:dyDescent="0.25">
      <c r="M24" s="46"/>
      <c r="N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3:44" ht="15" customHeight="1" x14ac:dyDescent="0.25">
      <c r="M25" s="46"/>
      <c r="N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3:44" ht="15" customHeight="1" x14ac:dyDescent="0.25">
      <c r="M26" s="46"/>
      <c r="N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3:44" ht="15" customHeight="1" x14ac:dyDescent="0.25">
      <c r="M27" s="46"/>
      <c r="N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3:44" ht="15" customHeight="1" x14ac:dyDescent="0.25">
      <c r="M28" s="46"/>
      <c r="N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3:44" ht="15" customHeight="1" x14ac:dyDescent="0.25">
      <c r="M29" s="46"/>
      <c r="N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1" spans="13:44" x14ac:dyDescent="0.25">
      <c r="M31" s="46"/>
      <c r="N31" s="46"/>
      <c r="Q31" s="46"/>
      <c r="R31" s="46"/>
      <c r="S31" s="46"/>
      <c r="T31" s="46"/>
      <c r="X31" s="46"/>
      <c r="Y31" s="46"/>
      <c r="Z31" s="46"/>
      <c r="AA31" s="46"/>
      <c r="AB31" s="46"/>
      <c r="AC31" s="46"/>
      <c r="AD31" s="46"/>
      <c r="AE31" s="46"/>
    </row>
    <row r="32" spans="13:44" x14ac:dyDescent="0.25">
      <c r="M32" s="46"/>
      <c r="N32" s="46"/>
      <c r="Q32" s="46"/>
      <c r="R32" s="46"/>
      <c r="S32" s="46"/>
      <c r="T32" s="46"/>
      <c r="X32" s="46"/>
      <c r="Y32" s="46"/>
      <c r="Z32" s="46"/>
      <c r="AA32" s="46"/>
      <c r="AB32" s="46"/>
      <c r="AC32" s="46"/>
      <c r="AD32" s="46"/>
      <c r="AE32" s="46"/>
      <c r="AH32" s="46"/>
    </row>
    <row r="33" spans="1:1" s="9" customFormat="1" x14ac:dyDescent="0.25">
      <c r="A33" s="46"/>
    </row>
    <row r="34" spans="1:1" s="9" customFormat="1" x14ac:dyDescent="0.25">
      <c r="A34" s="46"/>
    </row>
    <row r="35" spans="1:1" s="9" customFormat="1" x14ac:dyDescent="0.25">
      <c r="A35" s="46"/>
    </row>
    <row r="36" spans="1:1" s="9" customFormat="1" x14ac:dyDescent="0.25">
      <c r="A36" s="46"/>
    </row>
    <row r="37" spans="1:1" s="9" customFormat="1" x14ac:dyDescent="0.25">
      <c r="A37" s="46"/>
    </row>
    <row r="38" spans="1:1" s="9" customFormat="1" x14ac:dyDescent="0.25">
      <c r="A38" s="46"/>
    </row>
    <row r="39" spans="1:1" s="9" customFormat="1" x14ac:dyDescent="0.25">
      <c r="A39" s="46"/>
    </row>
    <row r="40" spans="1:1" s="9" customFormat="1" x14ac:dyDescent="0.25">
      <c r="A40" s="46"/>
    </row>
    <row r="41" spans="1:1" s="9" customFormat="1" x14ac:dyDescent="0.25">
      <c r="A41" s="46"/>
    </row>
    <row r="42" spans="1:1" s="9" customFormat="1" x14ac:dyDescent="0.25">
      <c r="A42" s="46"/>
    </row>
    <row r="52" spans="7:7" s="9" customFormat="1" x14ac:dyDescent="0.25">
      <c r="G52" s="59"/>
    </row>
    <row r="53" spans="7:7" s="9" customFormat="1" x14ac:dyDescent="0.25">
      <c r="G53" s="59"/>
    </row>
    <row r="54" spans="7:7" s="9" customFormat="1" x14ac:dyDescent="0.25">
      <c r="G54" s="59"/>
    </row>
    <row r="55" spans="7:7" s="9" customFormat="1" x14ac:dyDescent="0.25">
      <c r="G55" s="59"/>
    </row>
    <row r="56" spans="7:7" s="9" customFormat="1" x14ac:dyDescent="0.25">
      <c r="G56" s="59"/>
    </row>
    <row r="57" spans="7:7" s="9" customFormat="1" x14ac:dyDescent="0.25">
      <c r="G57" s="59"/>
    </row>
    <row r="58" spans="7:7" s="9" customFormat="1" x14ac:dyDescent="0.25">
      <c r="G58" s="59"/>
    </row>
    <row r="59" spans="7:7" s="9" customFormat="1" x14ac:dyDescent="0.25">
      <c r="G59" s="59"/>
    </row>
    <row r="60" spans="7:7" s="9" customFormat="1" x14ac:dyDescent="0.25">
      <c r="G60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18"/>
  <sheetViews>
    <sheetView workbookViewId="0">
      <selection activeCell="W12" sqref="W12"/>
    </sheetView>
  </sheetViews>
  <sheetFormatPr defaultRowHeight="15" x14ac:dyDescent="0.25"/>
  <cols>
    <col min="1" max="1" width="16.7109375" bestFit="1" customWidth="1"/>
  </cols>
  <sheetData>
    <row r="1" spans="1:33" s="9" customFormat="1" ht="15" customHeight="1" x14ac:dyDescent="0.25">
      <c r="A1" s="46" t="s">
        <v>54</v>
      </c>
      <c r="B1" s="9" t="s">
        <v>70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33" s="9" customFormat="1" ht="15" customHeight="1" x14ac:dyDescent="0.25">
      <c r="A2" s="46"/>
      <c r="B2" s="9" t="s">
        <v>55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O2" s="69" t="s">
        <v>61</v>
      </c>
      <c r="P2" s="69"/>
      <c r="Q2" s="69"/>
      <c r="R2" s="69"/>
      <c r="S2" s="69"/>
      <c r="T2" s="69"/>
    </row>
    <row r="3" spans="1:33" s="9" customFormat="1" ht="15" customHeight="1" x14ac:dyDescent="0.25">
      <c r="A3" s="46"/>
      <c r="B3" s="9" t="s">
        <v>56</v>
      </c>
      <c r="C3" s="46"/>
      <c r="D3" s="46"/>
      <c r="E3" s="46"/>
      <c r="F3" s="46"/>
      <c r="G3" s="46"/>
      <c r="H3" s="46"/>
      <c r="I3" s="41" t="s">
        <v>53</v>
      </c>
      <c r="J3" s="41" t="s">
        <v>49</v>
      </c>
      <c r="K3" s="41" t="s">
        <v>50</v>
      </c>
      <c r="L3" s="41" t="s">
        <v>51</v>
      </c>
      <c r="M3" s="41" t="s">
        <v>52</v>
      </c>
      <c r="O3" s="49" t="s">
        <v>41</v>
      </c>
      <c r="P3" s="49" t="s">
        <v>42</v>
      </c>
      <c r="Q3" s="49" t="s">
        <v>43</v>
      </c>
      <c r="R3" s="49" t="s">
        <v>44</v>
      </c>
      <c r="S3" s="49" t="s">
        <v>45</v>
      </c>
      <c r="T3" s="49" t="s">
        <v>46</v>
      </c>
      <c r="U3" s="41" t="s">
        <v>53</v>
      </c>
      <c r="V3" s="41" t="s">
        <v>49</v>
      </c>
      <c r="W3" s="41" t="s">
        <v>50</v>
      </c>
      <c r="X3" s="41" t="s">
        <v>51</v>
      </c>
      <c r="Y3" s="41" t="s">
        <v>52</v>
      </c>
      <c r="Z3" s="62" t="s">
        <v>41</v>
      </c>
      <c r="AA3" s="62" t="s">
        <v>42</v>
      </c>
      <c r="AB3" s="62" t="s">
        <v>43</v>
      </c>
      <c r="AC3" s="62" t="s">
        <v>44</v>
      </c>
      <c r="AD3" s="62" t="s">
        <v>45</v>
      </c>
      <c r="AE3" s="62" t="s">
        <v>46</v>
      </c>
      <c r="AF3" s="62" t="s">
        <v>47</v>
      </c>
      <c r="AG3" s="62" t="s">
        <v>48</v>
      </c>
    </row>
    <row r="4" spans="1:33" s="9" customFormat="1" ht="15" customHeight="1" x14ac:dyDescent="0.25">
      <c r="A4" s="46">
        <v>5</v>
      </c>
      <c r="B4" s="61">
        <v>5</v>
      </c>
      <c r="C4" s="46">
        <v>1.9319999999999999</v>
      </c>
      <c r="D4" s="46">
        <v>1.9328000000000001</v>
      </c>
      <c r="E4" s="46">
        <v>1.9322999999999999</v>
      </c>
      <c r="F4" s="46">
        <v>1.9326000000000001</v>
      </c>
      <c r="G4" s="46">
        <v>1.93245</v>
      </c>
      <c r="H4" s="46">
        <v>1.93285</v>
      </c>
      <c r="I4" s="46">
        <f t="shared" ref="I4:I10" si="0">MIN(C4:H4)</f>
        <v>1.9319999999999999</v>
      </c>
      <c r="J4" s="46">
        <f t="shared" ref="J4:J10" si="1">MAX(C4:H4)</f>
        <v>1.93285</v>
      </c>
      <c r="K4" s="46">
        <f>AVERAGE(C4:H4)</f>
        <v>1.9324999999999999</v>
      </c>
      <c r="L4" s="46">
        <f t="shared" ref="L4:L10" si="2">I4-K4</f>
        <v>-4.9999999999994493E-4</v>
      </c>
      <c r="M4" s="46">
        <f t="shared" ref="M4:M10" si="3">J4-K4</f>
        <v>3.5000000000007248E-4</v>
      </c>
      <c r="N4" s="61">
        <v>5</v>
      </c>
      <c r="O4" s="46">
        <f t="shared" ref="O4:T10" si="4">C4-C$7</f>
        <v>1.2499999999999734E-3</v>
      </c>
      <c r="P4" s="46">
        <f t="shared" si="4"/>
        <v>2.0999999999999908E-3</v>
      </c>
      <c r="Q4" s="46">
        <f t="shared" si="4"/>
        <v>1.6999999999998128E-3</v>
      </c>
      <c r="R4" s="46">
        <f t="shared" si="4"/>
        <v>2.4000000000001798E-3</v>
      </c>
      <c r="S4" s="46">
        <f t="shared" si="4"/>
        <v>1.8000000000000238E-3</v>
      </c>
      <c r="T4" s="46">
        <f t="shared" si="4"/>
        <v>2.3499999999998522E-3</v>
      </c>
      <c r="U4" s="46">
        <f t="shared" ref="U4:U10" si="5">MIN(O4:T4)</f>
        <v>1.2499999999999734E-3</v>
      </c>
      <c r="V4" s="46">
        <f t="shared" ref="V4:V10" si="6">MAX(O4:T4)</f>
        <v>2.4000000000001798E-3</v>
      </c>
      <c r="W4" s="46" t="e">
        <f t="shared" ref="W4:W10" si="7">MODE(O4:T4)</f>
        <v>#N/A</v>
      </c>
      <c r="X4" s="46" t="e">
        <f t="shared" ref="X4" si="8">U4-W4</f>
        <v>#N/A</v>
      </c>
      <c r="Y4" s="46" t="e">
        <f t="shared" ref="Y4" si="9">V4-W4</f>
        <v>#N/A</v>
      </c>
      <c r="Z4" s="63">
        <v>5</v>
      </c>
      <c r="AA4" s="63">
        <v>5</v>
      </c>
      <c r="AB4" s="63">
        <v>5</v>
      </c>
      <c r="AC4" s="63">
        <v>5</v>
      </c>
      <c r="AD4" s="63">
        <v>5</v>
      </c>
      <c r="AE4" s="63">
        <v>5</v>
      </c>
      <c r="AF4" s="63">
        <v>5</v>
      </c>
      <c r="AG4" s="63">
        <v>5</v>
      </c>
    </row>
    <row r="5" spans="1:33" s="9" customFormat="1" ht="15" customHeight="1" x14ac:dyDescent="0.25">
      <c r="A5" s="46">
        <v>19.75</v>
      </c>
      <c r="B5" s="61">
        <v>19.75</v>
      </c>
      <c r="C5" s="46">
        <v>1.9310499999999999</v>
      </c>
      <c r="D5" s="46">
        <v>1.9313499999999999</v>
      </c>
      <c r="E5" s="46">
        <v>1.9312</v>
      </c>
      <c r="F5" s="46">
        <v>1.9313</v>
      </c>
      <c r="G5" s="46">
        <v>1.9311</v>
      </c>
      <c r="H5" s="46">
        <v>1.931</v>
      </c>
      <c r="I5" s="46">
        <f t="shared" si="0"/>
        <v>1.931</v>
      </c>
      <c r="J5" s="46">
        <f t="shared" si="1"/>
        <v>1.9313499999999999</v>
      </c>
      <c r="K5" s="46">
        <f>AVERAGE(C5:H5)</f>
        <v>1.9311666666666667</v>
      </c>
      <c r="L5" s="46">
        <f t="shared" si="2"/>
        <v>-1.6666666666664831E-4</v>
      </c>
      <c r="M5" s="46">
        <f t="shared" si="3"/>
        <v>1.8333333333320212E-4</v>
      </c>
      <c r="N5" s="61">
        <v>19.75</v>
      </c>
      <c r="O5" s="46">
        <f t="shared" si="4"/>
        <v>2.9999999999996696E-4</v>
      </c>
      <c r="P5" s="46">
        <f t="shared" si="4"/>
        <v>6.4999999999981739E-4</v>
      </c>
      <c r="Q5" s="46">
        <f t="shared" si="4"/>
        <v>5.9999999999993392E-4</v>
      </c>
      <c r="R5" s="46">
        <f t="shared" si="4"/>
        <v>1.1000000000001009E-3</v>
      </c>
      <c r="S5" s="46">
        <f t="shared" si="4"/>
        <v>4.5000000000006146E-4</v>
      </c>
      <c r="T5" s="46">
        <f t="shared" si="4"/>
        <v>4.9999999999994493E-4</v>
      </c>
      <c r="U5" s="46">
        <f t="shared" si="5"/>
        <v>2.9999999999996696E-4</v>
      </c>
      <c r="V5" s="46">
        <f t="shared" si="6"/>
        <v>1.1000000000001009E-3</v>
      </c>
      <c r="W5" s="46" t="e">
        <f t="shared" si="7"/>
        <v>#N/A</v>
      </c>
      <c r="X5" s="46" t="e">
        <f t="shared" ref="X5:X12" si="10">U5-W5</f>
        <v>#N/A</v>
      </c>
      <c r="Y5" s="46" t="e">
        <f t="shared" ref="Y5:Y12" si="11">V5-W5</f>
        <v>#N/A</v>
      </c>
      <c r="Z5" s="63">
        <v>19.75</v>
      </c>
      <c r="AA5" s="63">
        <v>19.75</v>
      </c>
      <c r="AB5" s="63">
        <v>19.75</v>
      </c>
      <c r="AC5" s="63">
        <v>19.75</v>
      </c>
      <c r="AD5" s="63">
        <v>19.75</v>
      </c>
      <c r="AE5" s="63">
        <v>19.75</v>
      </c>
      <c r="AF5" s="63">
        <v>19.75</v>
      </c>
      <c r="AG5" s="63">
        <v>19.75</v>
      </c>
    </row>
    <row r="6" spans="1:33" s="9" customFormat="1" ht="15" customHeight="1" x14ac:dyDescent="0.25">
      <c r="A6" s="46">
        <v>45</v>
      </c>
      <c r="B6" s="61">
        <v>45</v>
      </c>
      <c r="C6" s="46">
        <v>1.93065</v>
      </c>
      <c r="D6" s="46">
        <v>1.93065</v>
      </c>
      <c r="E6" s="46">
        <v>1.93065</v>
      </c>
      <c r="F6" s="46">
        <v>1.93025</v>
      </c>
      <c r="G6" s="46">
        <v>1.9303999999999999</v>
      </c>
      <c r="H6" s="46">
        <v>1.9303999999999999</v>
      </c>
      <c r="I6" s="46">
        <f t="shared" si="0"/>
        <v>1.93025</v>
      </c>
      <c r="J6" s="46">
        <f t="shared" si="1"/>
        <v>1.93065</v>
      </c>
      <c r="K6" s="46">
        <f>MODE(C6:H6)</f>
        <v>1.93065</v>
      </c>
      <c r="L6" s="46">
        <f t="shared" si="2"/>
        <v>-3.9999999999995595E-4</v>
      </c>
      <c r="M6" s="46">
        <f t="shared" si="3"/>
        <v>0</v>
      </c>
      <c r="N6" s="61">
        <v>45</v>
      </c>
      <c r="O6" s="46">
        <f t="shared" si="4"/>
        <v>-9.9999999999988987E-5</v>
      </c>
      <c r="P6" s="46">
        <f t="shared" si="4"/>
        <v>-5.0000000000105516E-5</v>
      </c>
      <c r="Q6" s="46">
        <f t="shared" si="4"/>
        <v>4.9999999999883471E-5</v>
      </c>
      <c r="R6" s="46">
        <f t="shared" si="4"/>
        <v>5.0000000000105516E-5</v>
      </c>
      <c r="S6" s="46">
        <f t="shared" si="4"/>
        <v>-2.5000000000008349E-4</v>
      </c>
      <c r="T6" s="46">
        <f t="shared" si="4"/>
        <v>-1.0000000000021103E-4</v>
      </c>
      <c r="U6" s="46">
        <f t="shared" si="5"/>
        <v>-2.5000000000008349E-4</v>
      </c>
      <c r="V6" s="46">
        <f t="shared" si="6"/>
        <v>5.0000000000105516E-5</v>
      </c>
      <c r="W6" s="46" t="e">
        <f t="shared" si="7"/>
        <v>#N/A</v>
      </c>
      <c r="X6" s="46" t="e">
        <f t="shared" si="10"/>
        <v>#N/A</v>
      </c>
      <c r="Y6" s="46" t="e">
        <f t="shared" si="11"/>
        <v>#N/A</v>
      </c>
      <c r="Z6" s="63">
        <v>45</v>
      </c>
      <c r="AA6" s="63">
        <v>45</v>
      </c>
      <c r="AB6" s="63">
        <v>45</v>
      </c>
      <c r="AC6" s="63">
        <v>45</v>
      </c>
      <c r="AD6" s="63">
        <v>45</v>
      </c>
      <c r="AE6" s="63">
        <v>45</v>
      </c>
      <c r="AF6" s="63">
        <v>45</v>
      </c>
      <c r="AG6" s="63">
        <v>45</v>
      </c>
    </row>
    <row r="7" spans="1:33" s="9" customFormat="1" ht="15" customHeight="1" x14ac:dyDescent="0.25">
      <c r="A7" s="46">
        <v>90</v>
      </c>
      <c r="B7" s="61">
        <v>90</v>
      </c>
      <c r="C7" s="46">
        <v>1.93075</v>
      </c>
      <c r="D7" s="46">
        <v>1.9307000000000001</v>
      </c>
      <c r="E7" s="46">
        <v>1.9306000000000001</v>
      </c>
      <c r="F7" s="46">
        <v>1.9301999999999999</v>
      </c>
      <c r="G7" s="46">
        <v>1.93065</v>
      </c>
      <c r="H7" s="46">
        <v>1.9305000000000001</v>
      </c>
      <c r="I7" s="46">
        <f t="shared" si="0"/>
        <v>1.9301999999999999</v>
      </c>
      <c r="J7" s="46">
        <f t="shared" si="1"/>
        <v>1.93075</v>
      </c>
      <c r="K7" s="46">
        <f>AVERAGE(C7:H7)</f>
        <v>1.9305666666666665</v>
      </c>
      <c r="L7" s="46">
        <f t="shared" si="2"/>
        <v>-3.6666666666662628E-4</v>
      </c>
      <c r="M7" s="46">
        <f t="shared" si="3"/>
        <v>1.8333333333342416E-4</v>
      </c>
      <c r="N7" s="61">
        <v>90</v>
      </c>
      <c r="O7" s="46">
        <f t="shared" si="4"/>
        <v>0</v>
      </c>
      <c r="P7" s="46">
        <f t="shared" si="4"/>
        <v>0</v>
      </c>
      <c r="Q7" s="46">
        <f t="shared" si="4"/>
        <v>0</v>
      </c>
      <c r="R7" s="46">
        <f t="shared" si="4"/>
        <v>0</v>
      </c>
      <c r="S7" s="46">
        <f t="shared" si="4"/>
        <v>0</v>
      </c>
      <c r="T7" s="46">
        <f t="shared" si="4"/>
        <v>0</v>
      </c>
      <c r="U7" s="46">
        <f t="shared" si="5"/>
        <v>0</v>
      </c>
      <c r="V7" s="46">
        <f t="shared" si="6"/>
        <v>0</v>
      </c>
      <c r="W7" s="46">
        <f t="shared" si="7"/>
        <v>0</v>
      </c>
      <c r="X7" s="46">
        <f t="shared" si="10"/>
        <v>0</v>
      </c>
      <c r="Y7" s="46">
        <f t="shared" si="11"/>
        <v>0</v>
      </c>
      <c r="Z7" s="63">
        <v>90</v>
      </c>
      <c r="AA7" s="63">
        <v>90</v>
      </c>
      <c r="AB7" s="63">
        <v>90</v>
      </c>
      <c r="AC7" s="63">
        <v>90</v>
      </c>
      <c r="AD7" s="63">
        <v>90</v>
      </c>
      <c r="AE7" s="63">
        <v>90</v>
      </c>
      <c r="AF7" s="63">
        <v>90</v>
      </c>
      <c r="AG7" s="63">
        <v>90</v>
      </c>
    </row>
    <row r="8" spans="1:33" s="9" customFormat="1" ht="15" customHeight="1" x14ac:dyDescent="0.25">
      <c r="A8" s="46">
        <v>135</v>
      </c>
      <c r="B8" s="61">
        <v>135</v>
      </c>
      <c r="C8" s="46">
        <v>1.93045</v>
      </c>
      <c r="D8" s="46">
        <v>1.9306000000000001</v>
      </c>
      <c r="E8" s="46">
        <v>1.9307000000000001</v>
      </c>
      <c r="F8" s="46">
        <v>1.9303999999999999</v>
      </c>
      <c r="G8" s="46">
        <v>1.9306000000000001</v>
      </c>
      <c r="H8" s="46">
        <v>1.9306000000000001</v>
      </c>
      <c r="I8" s="46">
        <f t="shared" si="0"/>
        <v>1.9303999999999999</v>
      </c>
      <c r="J8" s="46">
        <f t="shared" si="1"/>
        <v>1.9307000000000001</v>
      </c>
      <c r="K8" s="46">
        <f>MODE(C8:H8)</f>
        <v>1.9306000000000001</v>
      </c>
      <c r="L8" s="46">
        <f t="shared" si="2"/>
        <v>-2.0000000000020002E-4</v>
      </c>
      <c r="M8" s="46">
        <f t="shared" si="3"/>
        <v>9.9999999999988987E-5</v>
      </c>
      <c r="N8" s="61">
        <v>135</v>
      </c>
      <c r="O8" s="46">
        <f t="shared" si="4"/>
        <v>-2.9999999999996696E-4</v>
      </c>
      <c r="P8" s="46">
        <f t="shared" si="4"/>
        <v>-9.9999999999988987E-5</v>
      </c>
      <c r="Q8" s="46">
        <f t="shared" si="4"/>
        <v>9.9999999999988987E-5</v>
      </c>
      <c r="R8" s="46">
        <f t="shared" si="4"/>
        <v>1.9999999999997797E-4</v>
      </c>
      <c r="S8" s="46">
        <f t="shared" si="4"/>
        <v>-4.9999999999883471E-5</v>
      </c>
      <c r="T8" s="46">
        <f t="shared" si="4"/>
        <v>9.9999999999988987E-5</v>
      </c>
      <c r="U8" s="46">
        <f t="shared" si="5"/>
        <v>-2.9999999999996696E-4</v>
      </c>
      <c r="V8" s="46">
        <f t="shared" si="6"/>
        <v>1.9999999999997797E-4</v>
      </c>
      <c r="W8" s="46">
        <f t="shared" si="7"/>
        <v>9.9999999999988987E-5</v>
      </c>
      <c r="X8" s="46">
        <f t="shared" si="10"/>
        <v>-3.9999999999995595E-4</v>
      </c>
      <c r="Y8" s="46">
        <f t="shared" si="11"/>
        <v>9.9999999999988987E-5</v>
      </c>
      <c r="Z8" s="63">
        <v>135</v>
      </c>
      <c r="AA8" s="63">
        <v>135</v>
      </c>
      <c r="AB8" s="63">
        <v>135</v>
      </c>
      <c r="AC8" s="63">
        <v>135</v>
      </c>
      <c r="AD8" s="63">
        <v>135</v>
      </c>
      <c r="AE8" s="63">
        <v>135</v>
      </c>
      <c r="AF8" s="63">
        <v>135</v>
      </c>
      <c r="AG8" s="63">
        <v>135</v>
      </c>
    </row>
    <row r="9" spans="1:33" s="9" customFormat="1" ht="15" customHeight="1" x14ac:dyDescent="0.25">
      <c r="A9" s="46">
        <v>160.25</v>
      </c>
      <c r="B9" s="61">
        <v>160.25</v>
      </c>
      <c r="C9" s="46">
        <v>1.9314499999999999</v>
      </c>
      <c r="D9" s="46">
        <v>1.9312</v>
      </c>
      <c r="E9" s="46">
        <v>1.931</v>
      </c>
      <c r="F9" s="46">
        <v>1.9313499999999999</v>
      </c>
      <c r="G9" s="46">
        <v>1.9312</v>
      </c>
      <c r="H9" s="46">
        <v>1.9313</v>
      </c>
      <c r="I9" s="46">
        <f t="shared" si="0"/>
        <v>1.931</v>
      </c>
      <c r="J9" s="46">
        <f t="shared" si="1"/>
        <v>1.9314499999999999</v>
      </c>
      <c r="K9" s="46">
        <f>MODE(C9:H9)</f>
        <v>1.9312</v>
      </c>
      <c r="L9" s="46">
        <f t="shared" si="2"/>
        <v>-1.9999999999997797E-4</v>
      </c>
      <c r="M9" s="46">
        <f t="shared" si="3"/>
        <v>2.4999999999986144E-4</v>
      </c>
      <c r="N9" s="61">
        <v>160.25</v>
      </c>
      <c r="O9" s="46">
        <f t="shared" si="4"/>
        <v>6.9999999999992291E-4</v>
      </c>
      <c r="P9" s="46">
        <f t="shared" si="4"/>
        <v>4.9999999999994493E-4</v>
      </c>
      <c r="Q9" s="46">
        <f t="shared" si="4"/>
        <v>3.9999999999995595E-4</v>
      </c>
      <c r="R9" s="46">
        <f t="shared" si="4"/>
        <v>1.1499999999999844E-3</v>
      </c>
      <c r="S9" s="46">
        <f t="shared" si="4"/>
        <v>5.5000000000005045E-4</v>
      </c>
      <c r="T9" s="46">
        <f t="shared" si="4"/>
        <v>7.9999999999991189E-4</v>
      </c>
      <c r="U9" s="46">
        <f t="shared" si="5"/>
        <v>3.9999999999995595E-4</v>
      </c>
      <c r="V9" s="46">
        <f t="shared" si="6"/>
        <v>1.1499999999999844E-3</v>
      </c>
      <c r="W9" s="46" t="e">
        <f t="shared" si="7"/>
        <v>#N/A</v>
      </c>
      <c r="X9" s="46" t="e">
        <f t="shared" si="10"/>
        <v>#N/A</v>
      </c>
      <c r="Y9" s="46" t="e">
        <f t="shared" si="11"/>
        <v>#N/A</v>
      </c>
      <c r="Z9" s="63">
        <v>160.25</v>
      </c>
      <c r="AA9" s="63">
        <v>160.25</v>
      </c>
      <c r="AB9" s="63">
        <v>160.25</v>
      </c>
      <c r="AC9" s="63">
        <v>160.25</v>
      </c>
      <c r="AD9" s="63">
        <v>160.25</v>
      </c>
      <c r="AE9" s="63">
        <v>160.25</v>
      </c>
      <c r="AF9" s="63">
        <v>160.25</v>
      </c>
      <c r="AG9" s="63">
        <v>160.25</v>
      </c>
    </row>
    <row r="10" spans="1:33" s="9" customFormat="1" ht="15" customHeight="1" x14ac:dyDescent="0.25">
      <c r="A10" s="46">
        <v>175</v>
      </c>
      <c r="B10" s="61">
        <v>175</v>
      </c>
      <c r="C10" s="46">
        <v>1.9326000000000001</v>
      </c>
      <c r="D10" s="46">
        <v>1.9323999999999999</v>
      </c>
      <c r="E10" s="46">
        <v>1.9318</v>
      </c>
      <c r="F10" s="46">
        <v>1.9326000000000001</v>
      </c>
      <c r="G10" s="46">
        <v>1.9319999999999999</v>
      </c>
      <c r="H10" s="46">
        <v>1.9319999999999999</v>
      </c>
      <c r="I10" s="46">
        <f t="shared" si="0"/>
        <v>1.9318</v>
      </c>
      <c r="J10" s="46">
        <f t="shared" si="1"/>
        <v>1.9326000000000001</v>
      </c>
      <c r="K10" s="46">
        <f>MODE(C10:H10)</f>
        <v>1.9326000000000001</v>
      </c>
      <c r="L10" s="46">
        <f t="shared" si="2"/>
        <v>-8.0000000000013394E-4</v>
      </c>
      <c r="M10" s="46">
        <f t="shared" si="3"/>
        <v>0</v>
      </c>
      <c r="N10" s="61">
        <v>175</v>
      </c>
      <c r="O10" s="46">
        <f t="shared" si="4"/>
        <v>1.8500000000001293E-3</v>
      </c>
      <c r="P10" s="46">
        <f t="shared" si="4"/>
        <v>1.6999999999998128E-3</v>
      </c>
      <c r="Q10" s="46">
        <f t="shared" si="4"/>
        <v>1.1999999999998678E-3</v>
      </c>
      <c r="R10" s="46">
        <f t="shared" si="4"/>
        <v>2.4000000000001798E-3</v>
      </c>
      <c r="S10" s="46">
        <f t="shared" si="4"/>
        <v>1.3499999999999623E-3</v>
      </c>
      <c r="T10" s="46">
        <f t="shared" si="4"/>
        <v>1.4999999999998348E-3</v>
      </c>
      <c r="U10" s="46">
        <f t="shared" si="5"/>
        <v>1.1999999999998678E-3</v>
      </c>
      <c r="V10" s="46">
        <f t="shared" si="6"/>
        <v>2.4000000000001798E-3</v>
      </c>
      <c r="W10" s="46" t="e">
        <f t="shared" si="7"/>
        <v>#N/A</v>
      </c>
      <c r="X10" s="46" t="e">
        <f t="shared" si="10"/>
        <v>#N/A</v>
      </c>
      <c r="Y10" s="46" t="e">
        <f t="shared" si="11"/>
        <v>#N/A</v>
      </c>
      <c r="Z10" s="63">
        <v>175</v>
      </c>
      <c r="AA10" s="63">
        <v>175</v>
      </c>
      <c r="AB10" s="63">
        <v>175</v>
      </c>
      <c r="AC10" s="63">
        <v>175</v>
      </c>
      <c r="AD10" s="63">
        <v>175</v>
      </c>
      <c r="AE10" s="63">
        <v>175</v>
      </c>
      <c r="AF10" s="63">
        <v>175</v>
      </c>
      <c r="AG10" s="63">
        <v>175</v>
      </c>
    </row>
    <row r="11" spans="1:33" s="9" customFormat="1" ht="15" customHeight="1" x14ac:dyDescent="0.25">
      <c r="A11" s="46" t="s">
        <v>69</v>
      </c>
      <c r="B11" s="61"/>
      <c r="C11" s="46">
        <v>0.62260000000000004</v>
      </c>
      <c r="D11" s="46">
        <v>0.62260000000000004</v>
      </c>
      <c r="E11" s="46">
        <v>0.62260000000000004</v>
      </c>
      <c r="F11" s="46">
        <v>0.62260000000000004</v>
      </c>
      <c r="G11" s="46">
        <v>0.62260000000000004</v>
      </c>
      <c r="H11" s="46">
        <v>0.62260000000000004</v>
      </c>
      <c r="I11" s="46"/>
      <c r="J11" s="46"/>
      <c r="K11" s="46">
        <f>ROUND(AVERAGE(C11:H11),4)</f>
        <v>0.62260000000000004</v>
      </c>
      <c r="L11" s="46"/>
      <c r="M11" s="46"/>
      <c r="N11" s="61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63"/>
      <c r="AA11" s="63"/>
      <c r="AB11" s="63"/>
      <c r="AC11" s="63"/>
      <c r="AD11" s="63"/>
      <c r="AE11" s="63"/>
      <c r="AF11" s="63"/>
      <c r="AG11" s="63"/>
    </row>
    <row r="12" spans="1:33" s="9" customFormat="1" ht="15" customHeight="1" x14ac:dyDescent="0.25">
      <c r="A12" s="46" t="s">
        <v>60</v>
      </c>
      <c r="B12" s="9" t="s">
        <v>71</v>
      </c>
      <c r="C12" s="46">
        <v>7.8649999999999998E-2</v>
      </c>
      <c r="D12" s="46">
        <v>7.8600000000000003E-2</v>
      </c>
      <c r="E12" s="46">
        <v>7.8750000000000001E-2</v>
      </c>
      <c r="F12" s="46">
        <v>7.8600000000000003E-2</v>
      </c>
      <c r="G12" s="46">
        <v>7.8649999999999998E-2</v>
      </c>
      <c r="H12" s="46">
        <v>7.8899999999999998E-2</v>
      </c>
      <c r="I12" s="46">
        <f>MIN(C12:H12)</f>
        <v>7.8600000000000003E-2</v>
      </c>
      <c r="J12" s="46">
        <f>MAX(C12:H12)</f>
        <v>7.8899999999999998E-2</v>
      </c>
      <c r="K12" s="46">
        <f>ROUND(AVERAGE(C12:H12),4)</f>
        <v>7.8700000000000006E-2</v>
      </c>
      <c r="L12" s="46">
        <f t="shared" ref="L12:L13" si="12">I12-K12</f>
        <v>-1.0000000000000286E-4</v>
      </c>
      <c r="M12" s="46">
        <f t="shared" ref="M12:M13" si="13">J12-K12</f>
        <v>1.9999999999999185E-4</v>
      </c>
      <c r="N12" s="46"/>
      <c r="U12" s="46">
        <f>MIN(O5:T5,O9:T9)</f>
        <v>2.9999999999996696E-4</v>
      </c>
      <c r="V12" s="46">
        <f>MAX(O5:T5,O9:T9)</f>
        <v>1.1499999999999844E-3</v>
      </c>
      <c r="W12" s="46">
        <f>MODE(O5:T5,O9:T9)</f>
        <v>4.9999999999994493E-4</v>
      </c>
      <c r="X12" s="46">
        <f t="shared" si="10"/>
        <v>-1.9999999999997797E-4</v>
      </c>
      <c r="Y12" s="46">
        <f t="shared" si="11"/>
        <v>6.5000000000003944E-4</v>
      </c>
    </row>
    <row r="13" spans="1:33" s="9" customFormat="1" ht="15" customHeight="1" x14ac:dyDescent="0.25">
      <c r="A13" s="46" t="s">
        <v>60</v>
      </c>
      <c r="B13" s="9" t="s">
        <v>72</v>
      </c>
      <c r="C13" s="46">
        <v>7.85E-2</v>
      </c>
      <c r="D13" s="46">
        <v>7.85E-2</v>
      </c>
      <c r="E13" s="46">
        <v>7.85E-2</v>
      </c>
      <c r="F13" s="46">
        <v>7.85E-2</v>
      </c>
      <c r="G13" s="46">
        <v>7.85E-2</v>
      </c>
      <c r="H13" s="46">
        <v>7.85E-2</v>
      </c>
      <c r="I13" s="46">
        <f>MIN(C13:H13)</f>
        <v>7.85E-2</v>
      </c>
      <c r="J13" s="46">
        <f>MAX(C13:H13)</f>
        <v>7.85E-2</v>
      </c>
      <c r="K13" s="46">
        <f>ROUND(AVERAGE(C13:H13),4)</f>
        <v>7.85E-2</v>
      </c>
      <c r="L13" s="46">
        <f t="shared" si="12"/>
        <v>0</v>
      </c>
      <c r="M13" s="46">
        <f t="shared" si="13"/>
        <v>0</v>
      </c>
      <c r="N13" s="46"/>
    </row>
    <row r="14" spans="1:33" s="9" customFormat="1" ht="15" customHeight="1" x14ac:dyDescent="0.25">
      <c r="A14" s="46" t="s">
        <v>57</v>
      </c>
      <c r="C14" s="46">
        <f>C7-'Rod Journals'!$E2</f>
        <v>2.2854330708661497E-3</v>
      </c>
      <c r="D14" s="46">
        <f>D7-'Rod Journals'!$E2</f>
        <v>2.2354330708662662E-3</v>
      </c>
      <c r="E14" s="46">
        <f>E7-'Rod Journals'!$E2</f>
        <v>2.1354330708662772E-3</v>
      </c>
      <c r="F14" s="46">
        <f>F7-'Rod Journals'!$E2</f>
        <v>1.7354330708660992E-3</v>
      </c>
      <c r="G14" s="46">
        <f>G7-'Rod Journals'!$E2</f>
        <v>2.1854330708661607E-3</v>
      </c>
      <c r="H14" s="46">
        <f>H7-'Rod Journals'!$E2</f>
        <v>2.0354330708662882E-3</v>
      </c>
      <c r="I14" s="46">
        <f>MIN(C14:H14)</f>
        <v>1.7354330708660992E-3</v>
      </c>
      <c r="J14" s="46">
        <f>MAX(C14:H14)</f>
        <v>2.2854330708661497E-3</v>
      </c>
      <c r="K14" s="46">
        <f>AVERAGE(C14:H14)</f>
        <v>2.1020997375328734E-3</v>
      </c>
      <c r="L14" s="46">
        <f t="shared" ref="L14" si="14">I14-K14</f>
        <v>-3.6666666666677417E-4</v>
      </c>
      <c r="M14" s="46">
        <f t="shared" ref="M14" si="15">J14-K14</f>
        <v>1.8333333333327628E-4</v>
      </c>
      <c r="N14" s="46"/>
    </row>
    <row r="15" spans="1:33" s="9" customFormat="1" ht="15" customHeight="1" x14ac:dyDescent="0.25">
      <c r="A15" s="46" t="s">
        <v>58</v>
      </c>
      <c r="C15" s="46">
        <f>C7-'Rod Journals'!$F2</f>
        <v>1.9704724409448371E-3</v>
      </c>
      <c r="D15" s="46">
        <f>D7-'Rod Journals'!$F2</f>
        <v>1.9204724409449536E-3</v>
      </c>
      <c r="E15" s="46">
        <f>E7-'Rod Journals'!$F2</f>
        <v>1.8204724409449646E-3</v>
      </c>
      <c r="F15" s="46">
        <f>F7-'Rod Journals'!$F2</f>
        <v>1.4204724409447866E-3</v>
      </c>
      <c r="G15" s="46">
        <f>G7-'Rod Journals'!$F2</f>
        <v>1.8704724409448481E-3</v>
      </c>
      <c r="H15" s="46">
        <f>H7-'Rod Journals'!$F2</f>
        <v>1.7204724409449756E-3</v>
      </c>
      <c r="I15" s="46">
        <f>'Rod Journals'!D4</f>
        <v>1.1811023622048111E-3</v>
      </c>
      <c r="J15" s="46"/>
      <c r="K15" s="46"/>
      <c r="L15" s="46"/>
      <c r="M15" s="46"/>
    </row>
    <row r="16" spans="1:33" s="9" customFormat="1" ht="15" customHeight="1" x14ac:dyDescent="0.25">
      <c r="A16" s="46" t="s">
        <v>59</v>
      </c>
      <c r="C16" s="46">
        <f>C7-'Rod Journals'!$D2</f>
        <v>2.6003937007872402E-3</v>
      </c>
      <c r="D16" s="46">
        <f>D7-'Rod Journals'!$D2</f>
        <v>2.5503937007873567E-3</v>
      </c>
      <c r="E16" s="46">
        <f>E7-'Rod Journals'!$D2</f>
        <v>2.4503937007873677E-3</v>
      </c>
      <c r="F16" s="46">
        <f>F7-'Rod Journals'!$D2</f>
        <v>2.0503937007871897E-3</v>
      </c>
      <c r="G16" s="46">
        <f>G7-'Rod Journals'!$D2</f>
        <v>2.5003937007872512E-3</v>
      </c>
      <c r="H16" s="46">
        <f>H7-'Rod Journals'!$D2</f>
        <v>2.3503937007873787E-3</v>
      </c>
      <c r="I16" s="46"/>
      <c r="J16" s="46">
        <f>'Rod Journals'!F4</f>
        <v>2.755905511811152E-3</v>
      </c>
      <c r="K16" s="46"/>
      <c r="L16" s="46"/>
      <c r="M16" s="46"/>
    </row>
    <row r="17" spans="1:13" x14ac:dyDescent="0.25">
      <c r="A17" s="46" t="s">
        <v>62</v>
      </c>
      <c r="I17" s="46">
        <f>I15</f>
        <v>1.1811023622048111E-3</v>
      </c>
      <c r="J17" s="46">
        <f>J16</f>
        <v>2.755905511811152E-3</v>
      </c>
      <c r="K17" s="46">
        <f>AVERAGE(I17:J17)</f>
        <v>1.9685039370079815E-3</v>
      </c>
      <c r="L17" s="46">
        <f>I17-K17</f>
        <v>-7.8740157480317041E-4</v>
      </c>
      <c r="M17" s="46">
        <f>J17-K17</f>
        <v>7.8740157480317041E-4</v>
      </c>
    </row>
    <row r="18" spans="1:13" x14ac:dyDescent="0.25">
      <c r="A18" s="46" t="s">
        <v>63</v>
      </c>
      <c r="I18" s="46">
        <f>MIN(C15:H15)</f>
        <v>1.4204724409447866E-3</v>
      </c>
      <c r="J18" s="46">
        <f>MAX(C16:H16)</f>
        <v>2.6003937007872402E-3</v>
      </c>
      <c r="K18">
        <f>AVERAGE(I18:J18)</f>
        <v>2.0104330708660134E-3</v>
      </c>
      <c r="L18" s="46">
        <f>I18-K18</f>
        <v>-5.8996062992122678E-4</v>
      </c>
      <c r="M18" s="46">
        <f>J18-K18</f>
        <v>5.8996062992122678E-4</v>
      </c>
    </row>
  </sheetData>
  <mergeCells count="1">
    <mergeCell ref="O2:T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28" workbookViewId="0">
      <selection activeCell="N4" sqref="N4:T10"/>
    </sheetView>
  </sheetViews>
  <sheetFormatPr defaultRowHeight="15" x14ac:dyDescent="0.25"/>
  <cols>
    <col min="1" max="1" width="16.7109375" style="9" bestFit="1" customWidth="1"/>
    <col min="2" max="16384" width="9.140625" style="9"/>
  </cols>
  <sheetData>
    <row r="1" spans="1:33" ht="15" customHeight="1" x14ac:dyDescent="0.25">
      <c r="A1" s="46" t="s">
        <v>54</v>
      </c>
      <c r="B1" s="9" t="s">
        <v>75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33" ht="15" customHeight="1" x14ac:dyDescent="0.25">
      <c r="A2" s="46"/>
      <c r="B2" s="9" t="s">
        <v>55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O2" s="69" t="s">
        <v>61</v>
      </c>
      <c r="P2" s="69"/>
      <c r="Q2" s="69"/>
      <c r="R2" s="69"/>
      <c r="S2" s="69"/>
      <c r="T2" s="69"/>
    </row>
    <row r="3" spans="1:33" ht="15" customHeight="1" x14ac:dyDescent="0.25">
      <c r="A3" s="46"/>
      <c r="B3" s="9" t="s">
        <v>56</v>
      </c>
      <c r="C3" s="46"/>
      <c r="D3" s="46"/>
      <c r="E3" s="46"/>
      <c r="F3" s="46"/>
      <c r="G3" s="46"/>
      <c r="H3" s="46"/>
      <c r="I3" s="41" t="s">
        <v>53</v>
      </c>
      <c r="J3" s="41" t="s">
        <v>49</v>
      </c>
      <c r="K3" s="41" t="s">
        <v>50</v>
      </c>
      <c r="L3" s="41" t="s">
        <v>51</v>
      </c>
      <c r="M3" s="41" t="s">
        <v>52</v>
      </c>
      <c r="O3" s="64" t="s">
        <v>41</v>
      </c>
      <c r="P3" s="64" t="s">
        <v>42</v>
      </c>
      <c r="Q3" s="64" t="s">
        <v>43</v>
      </c>
      <c r="R3" s="64" t="s">
        <v>44</v>
      </c>
      <c r="S3" s="64" t="s">
        <v>45</v>
      </c>
      <c r="T3" s="64" t="s">
        <v>46</v>
      </c>
      <c r="U3" s="41" t="s">
        <v>53</v>
      </c>
      <c r="V3" s="41" t="s">
        <v>49</v>
      </c>
      <c r="W3" s="41" t="s">
        <v>50</v>
      </c>
      <c r="X3" s="41" t="s">
        <v>51</v>
      </c>
      <c r="Y3" s="41" t="s">
        <v>52</v>
      </c>
      <c r="Z3" s="64" t="s">
        <v>41</v>
      </c>
      <c r="AA3" s="64" t="s">
        <v>42</v>
      </c>
      <c r="AB3" s="64" t="s">
        <v>43</v>
      </c>
      <c r="AC3" s="64" t="s">
        <v>44</v>
      </c>
      <c r="AD3" s="64" t="s">
        <v>45</v>
      </c>
      <c r="AE3" s="64" t="s">
        <v>46</v>
      </c>
      <c r="AF3" s="64" t="s">
        <v>47</v>
      </c>
      <c r="AG3" s="64" t="s">
        <v>48</v>
      </c>
    </row>
    <row r="4" spans="1:33" ht="15" customHeight="1" x14ac:dyDescent="0.25">
      <c r="A4" s="46">
        <v>5</v>
      </c>
      <c r="B4" s="61">
        <v>5</v>
      </c>
      <c r="C4" s="46">
        <v>1.9351499999999999</v>
      </c>
      <c r="D4" s="46">
        <v>1.9348000000000001</v>
      </c>
      <c r="E4" s="46">
        <v>1.9341999999999999</v>
      </c>
      <c r="F4" s="46">
        <v>1.93465</v>
      </c>
      <c r="G4" s="46">
        <v>1.9346000000000001</v>
      </c>
      <c r="H4" s="46">
        <v>1.93465</v>
      </c>
      <c r="I4" s="46">
        <f t="shared" ref="I4:I10" si="0">MIN(C4:H4)</f>
        <v>1.9341999999999999</v>
      </c>
      <c r="J4" s="46">
        <f t="shared" ref="J4:J10" si="1">MAX(C4:H4)</f>
        <v>1.9351499999999999</v>
      </c>
      <c r="K4" s="46">
        <f>MODE(C4:H4)</f>
        <v>1.93465</v>
      </c>
      <c r="L4" s="46">
        <f t="shared" ref="L4:L10" si="2">I4-K4</f>
        <v>-4.5000000000006146E-4</v>
      </c>
      <c r="M4" s="46">
        <f t="shared" ref="M4:M10" si="3">J4-K4</f>
        <v>4.9999999999994493E-4</v>
      </c>
      <c r="N4" s="61">
        <v>5</v>
      </c>
      <c r="O4" s="46">
        <f t="shared" ref="O4:T10" si="4">C4-C$7</f>
        <v>3.949999999999898E-3</v>
      </c>
      <c r="P4" s="46">
        <f t="shared" si="4"/>
        <v>3.6000000000000476E-3</v>
      </c>
      <c r="Q4" s="46">
        <f t="shared" si="4"/>
        <v>3.1999999999998696E-3</v>
      </c>
      <c r="R4" s="46">
        <f t="shared" si="4"/>
        <v>3.8499999999999091E-3</v>
      </c>
      <c r="S4" s="46">
        <f t="shared" si="4"/>
        <v>3.5000000000000586E-3</v>
      </c>
      <c r="T4" s="46">
        <f t="shared" si="4"/>
        <v>3.6499999999999311E-3</v>
      </c>
      <c r="U4" s="46">
        <f t="shared" ref="U4:U10" si="5">MIN(O4:T4)</f>
        <v>3.1999999999998696E-3</v>
      </c>
      <c r="V4" s="46">
        <f t="shared" ref="V4:V10" si="6">MAX(O4:T4)</f>
        <v>3.949999999999898E-3</v>
      </c>
      <c r="W4" s="46" t="e">
        <f t="shared" ref="W4:W10" si="7">MODE(O4:T4)</f>
        <v>#N/A</v>
      </c>
      <c r="X4" s="46" t="e">
        <f t="shared" ref="X4:X12" si="8">U4-W4</f>
        <v>#N/A</v>
      </c>
      <c r="Y4" s="46" t="e">
        <f t="shared" ref="Y4:Y12" si="9">V4-W4</f>
        <v>#N/A</v>
      </c>
      <c r="Z4" s="63">
        <v>5</v>
      </c>
      <c r="AA4" s="63">
        <v>5</v>
      </c>
      <c r="AB4" s="63">
        <v>5</v>
      </c>
      <c r="AC4" s="63">
        <v>5</v>
      </c>
      <c r="AD4" s="63">
        <v>5</v>
      </c>
      <c r="AE4" s="63">
        <v>5</v>
      </c>
      <c r="AF4" s="63">
        <v>5</v>
      </c>
      <c r="AG4" s="63">
        <v>5</v>
      </c>
    </row>
    <row r="5" spans="1:33" ht="15" customHeight="1" x14ac:dyDescent="0.25">
      <c r="A5" s="46">
        <v>19.75</v>
      </c>
      <c r="B5" s="61">
        <v>19.75</v>
      </c>
      <c r="C5" s="46">
        <v>1.9326000000000001</v>
      </c>
      <c r="D5" s="46">
        <v>1.93285</v>
      </c>
      <c r="E5" s="46">
        <v>1.9321999999999999</v>
      </c>
      <c r="F5" s="46">
        <v>1.9328000000000001</v>
      </c>
      <c r="G5" s="46">
        <v>1.9326000000000001</v>
      </c>
      <c r="H5" s="46">
        <v>1.9326000000000001</v>
      </c>
      <c r="I5" s="46">
        <f t="shared" si="0"/>
        <v>1.9321999999999999</v>
      </c>
      <c r="J5" s="46">
        <f t="shared" si="1"/>
        <v>1.93285</v>
      </c>
      <c r="K5" s="46">
        <f>MODE(C5:H5)</f>
        <v>1.9326000000000001</v>
      </c>
      <c r="L5" s="46">
        <f t="shared" si="2"/>
        <v>-4.0000000000017799E-4</v>
      </c>
      <c r="M5" s="46">
        <f t="shared" si="3"/>
        <v>2.4999999999986144E-4</v>
      </c>
      <c r="N5" s="61">
        <v>19.75</v>
      </c>
      <c r="O5" s="46">
        <f t="shared" si="4"/>
        <v>1.4000000000000679E-3</v>
      </c>
      <c r="P5" s="46">
        <f t="shared" si="4"/>
        <v>1.6499999999999293E-3</v>
      </c>
      <c r="Q5" s="46">
        <f t="shared" si="4"/>
        <v>1.1999999999998678E-3</v>
      </c>
      <c r="R5" s="46">
        <f t="shared" si="4"/>
        <v>2.0000000000000018E-3</v>
      </c>
      <c r="S5" s="46">
        <f t="shared" si="4"/>
        <v>1.5000000000000568E-3</v>
      </c>
      <c r="T5" s="46">
        <f t="shared" si="4"/>
        <v>1.6000000000000458E-3</v>
      </c>
      <c r="U5" s="46">
        <f t="shared" si="5"/>
        <v>1.1999999999998678E-3</v>
      </c>
      <c r="V5" s="46">
        <f t="shared" si="6"/>
        <v>2.0000000000000018E-3</v>
      </c>
      <c r="W5" s="46" t="e">
        <f t="shared" si="7"/>
        <v>#N/A</v>
      </c>
      <c r="X5" s="46" t="e">
        <f t="shared" si="8"/>
        <v>#N/A</v>
      </c>
      <c r="Y5" s="46" t="e">
        <f t="shared" si="9"/>
        <v>#N/A</v>
      </c>
      <c r="Z5" s="63">
        <v>19.75</v>
      </c>
      <c r="AA5" s="63">
        <v>19.75</v>
      </c>
      <c r="AB5" s="63">
        <v>19.75</v>
      </c>
      <c r="AC5" s="63">
        <v>19.75</v>
      </c>
      <c r="AD5" s="63">
        <v>19.75</v>
      </c>
      <c r="AE5" s="63">
        <v>19.75</v>
      </c>
      <c r="AF5" s="63">
        <v>19.75</v>
      </c>
      <c r="AG5" s="63">
        <v>19.75</v>
      </c>
    </row>
    <row r="6" spans="1:33" ht="15" customHeight="1" x14ac:dyDescent="0.25">
      <c r="A6" s="46">
        <v>45</v>
      </c>
      <c r="B6" s="61">
        <v>45</v>
      </c>
      <c r="C6" s="46">
        <v>1.9317500000000001</v>
      </c>
      <c r="D6" s="46">
        <v>1.9318</v>
      </c>
      <c r="E6" s="46">
        <v>1.9314499999999999</v>
      </c>
      <c r="F6" s="46">
        <v>1.9316</v>
      </c>
      <c r="G6" s="46">
        <v>1.9316</v>
      </c>
      <c r="H6" s="46">
        <v>1.9316</v>
      </c>
      <c r="I6" s="46">
        <f t="shared" si="0"/>
        <v>1.9314499999999999</v>
      </c>
      <c r="J6" s="46">
        <f t="shared" si="1"/>
        <v>1.9318</v>
      </c>
      <c r="K6" s="46">
        <f>MODE(C6:H6)</f>
        <v>1.9316</v>
      </c>
      <c r="L6" s="46">
        <f t="shared" si="2"/>
        <v>-1.500000000000945E-4</v>
      </c>
      <c r="M6" s="46">
        <f t="shared" si="3"/>
        <v>1.9999999999997797E-4</v>
      </c>
      <c r="N6" s="61">
        <v>45</v>
      </c>
      <c r="O6" s="46">
        <f t="shared" si="4"/>
        <v>5.5000000000005045E-4</v>
      </c>
      <c r="P6" s="46">
        <f t="shared" si="4"/>
        <v>5.9999999999993392E-4</v>
      </c>
      <c r="Q6" s="46">
        <f t="shared" si="4"/>
        <v>4.4999999999983942E-4</v>
      </c>
      <c r="R6" s="46">
        <f t="shared" si="4"/>
        <v>7.9999999999991189E-4</v>
      </c>
      <c r="S6" s="46">
        <f t="shared" si="4"/>
        <v>4.9999999999994493E-4</v>
      </c>
      <c r="T6" s="46">
        <f t="shared" si="4"/>
        <v>5.9999999999993392E-4</v>
      </c>
      <c r="U6" s="46">
        <f t="shared" si="5"/>
        <v>4.4999999999983942E-4</v>
      </c>
      <c r="V6" s="46">
        <f t="shared" si="6"/>
        <v>7.9999999999991189E-4</v>
      </c>
      <c r="W6" s="46">
        <f t="shared" si="7"/>
        <v>5.9999999999993392E-4</v>
      </c>
      <c r="X6" s="46">
        <f t="shared" si="8"/>
        <v>-1.500000000000945E-4</v>
      </c>
      <c r="Y6" s="46">
        <f t="shared" si="9"/>
        <v>1.9999999999997797E-4</v>
      </c>
      <c r="Z6" s="63">
        <v>45</v>
      </c>
      <c r="AA6" s="63">
        <v>45</v>
      </c>
      <c r="AB6" s="63">
        <v>45</v>
      </c>
      <c r="AC6" s="63">
        <v>45</v>
      </c>
      <c r="AD6" s="63">
        <v>45</v>
      </c>
      <c r="AE6" s="63">
        <v>45</v>
      </c>
      <c r="AF6" s="63">
        <v>45</v>
      </c>
      <c r="AG6" s="63">
        <v>45</v>
      </c>
    </row>
    <row r="7" spans="1:33" ht="15" customHeight="1" x14ac:dyDescent="0.25">
      <c r="A7" s="46">
        <v>90</v>
      </c>
      <c r="B7" s="61">
        <v>90</v>
      </c>
      <c r="C7" s="46">
        <v>1.9312</v>
      </c>
      <c r="D7" s="46">
        <v>1.9312</v>
      </c>
      <c r="E7" s="46">
        <v>1.931</v>
      </c>
      <c r="F7" s="46">
        <v>1.9308000000000001</v>
      </c>
      <c r="G7" s="46">
        <v>1.9311</v>
      </c>
      <c r="H7" s="46">
        <v>1.931</v>
      </c>
      <c r="I7" s="46">
        <f t="shared" si="0"/>
        <v>1.9308000000000001</v>
      </c>
      <c r="J7" s="46">
        <f t="shared" si="1"/>
        <v>1.9312</v>
      </c>
      <c r="K7" s="46">
        <f>AVERAGE(C7:H7)</f>
        <v>1.9310500000000002</v>
      </c>
      <c r="L7" s="46">
        <f t="shared" si="2"/>
        <v>-2.5000000000008349E-4</v>
      </c>
      <c r="M7" s="46">
        <f t="shared" si="3"/>
        <v>1.4999999999987246E-4</v>
      </c>
      <c r="N7" s="61">
        <v>90</v>
      </c>
      <c r="O7" s="46">
        <f t="shared" si="4"/>
        <v>0</v>
      </c>
      <c r="P7" s="46">
        <f t="shared" si="4"/>
        <v>0</v>
      </c>
      <c r="Q7" s="46">
        <f t="shared" si="4"/>
        <v>0</v>
      </c>
      <c r="R7" s="46">
        <f t="shared" si="4"/>
        <v>0</v>
      </c>
      <c r="S7" s="46">
        <f t="shared" si="4"/>
        <v>0</v>
      </c>
      <c r="T7" s="46">
        <f t="shared" si="4"/>
        <v>0</v>
      </c>
      <c r="U7" s="46">
        <f t="shared" si="5"/>
        <v>0</v>
      </c>
      <c r="V7" s="46">
        <f t="shared" si="6"/>
        <v>0</v>
      </c>
      <c r="W7" s="46">
        <f t="shared" si="7"/>
        <v>0</v>
      </c>
      <c r="X7" s="46">
        <f t="shared" si="8"/>
        <v>0</v>
      </c>
      <c r="Y7" s="46">
        <f t="shared" si="9"/>
        <v>0</v>
      </c>
      <c r="Z7" s="63">
        <v>90</v>
      </c>
      <c r="AA7" s="63">
        <v>90</v>
      </c>
      <c r="AB7" s="63">
        <v>90</v>
      </c>
      <c r="AC7" s="63">
        <v>90</v>
      </c>
      <c r="AD7" s="63">
        <v>90</v>
      </c>
      <c r="AE7" s="63">
        <v>90</v>
      </c>
      <c r="AF7" s="63">
        <v>90</v>
      </c>
      <c r="AG7" s="63">
        <v>90</v>
      </c>
    </row>
    <row r="8" spans="1:33" ht="15" customHeight="1" x14ac:dyDescent="0.25">
      <c r="A8" s="46">
        <v>135</v>
      </c>
      <c r="B8" s="61">
        <v>135</v>
      </c>
      <c r="C8" s="46">
        <v>1.9317500000000001</v>
      </c>
      <c r="D8" s="46">
        <v>1.9318</v>
      </c>
      <c r="E8" s="46">
        <v>1.9317500000000001</v>
      </c>
      <c r="F8" s="46">
        <v>1.9317500000000001</v>
      </c>
      <c r="G8" s="46">
        <v>1.9317500000000001</v>
      </c>
      <c r="H8" s="46">
        <v>1.9316</v>
      </c>
      <c r="I8" s="46">
        <f t="shared" si="0"/>
        <v>1.9316</v>
      </c>
      <c r="J8" s="46">
        <f t="shared" si="1"/>
        <v>1.9318</v>
      </c>
      <c r="K8" s="46">
        <f>MODE(C8:H8)</f>
        <v>1.9317500000000001</v>
      </c>
      <c r="L8" s="46">
        <f t="shared" si="2"/>
        <v>-1.500000000000945E-4</v>
      </c>
      <c r="M8" s="46">
        <f t="shared" si="3"/>
        <v>4.9999999999883471E-5</v>
      </c>
      <c r="N8" s="61">
        <v>135</v>
      </c>
      <c r="O8" s="46">
        <f t="shared" si="4"/>
        <v>5.5000000000005045E-4</v>
      </c>
      <c r="P8" s="46">
        <f t="shared" si="4"/>
        <v>5.9999999999993392E-4</v>
      </c>
      <c r="Q8" s="46">
        <f t="shared" si="4"/>
        <v>7.5000000000002842E-4</v>
      </c>
      <c r="R8" s="46">
        <f t="shared" si="4"/>
        <v>9.5000000000000639E-4</v>
      </c>
      <c r="S8" s="46">
        <f t="shared" si="4"/>
        <v>6.5000000000003944E-4</v>
      </c>
      <c r="T8" s="46">
        <f t="shared" si="4"/>
        <v>5.9999999999993392E-4</v>
      </c>
      <c r="U8" s="46">
        <f t="shared" si="5"/>
        <v>5.5000000000005045E-4</v>
      </c>
      <c r="V8" s="46">
        <f t="shared" si="6"/>
        <v>9.5000000000000639E-4</v>
      </c>
      <c r="W8" s="46">
        <f t="shared" si="7"/>
        <v>5.9999999999993392E-4</v>
      </c>
      <c r="X8" s="46">
        <f t="shared" si="8"/>
        <v>-4.9999999999883471E-5</v>
      </c>
      <c r="Y8" s="46">
        <f t="shared" si="9"/>
        <v>3.5000000000007248E-4</v>
      </c>
      <c r="Z8" s="63">
        <v>135</v>
      </c>
      <c r="AA8" s="63">
        <v>135</v>
      </c>
      <c r="AB8" s="63">
        <v>135</v>
      </c>
      <c r="AC8" s="63">
        <v>135</v>
      </c>
      <c r="AD8" s="63">
        <v>135</v>
      </c>
      <c r="AE8" s="63">
        <v>135</v>
      </c>
      <c r="AF8" s="63">
        <v>135</v>
      </c>
      <c r="AG8" s="63">
        <v>135</v>
      </c>
    </row>
    <row r="9" spans="1:33" ht="15" customHeight="1" x14ac:dyDescent="0.25">
      <c r="A9" s="46">
        <v>160.25</v>
      </c>
      <c r="B9" s="61">
        <v>160.25</v>
      </c>
      <c r="C9" s="46">
        <v>1.9326000000000001</v>
      </c>
      <c r="D9" s="46">
        <v>1.9328000000000001</v>
      </c>
      <c r="E9" s="46">
        <v>1.9323999999999999</v>
      </c>
      <c r="F9" s="46">
        <v>1.9328000000000001</v>
      </c>
      <c r="G9" s="46">
        <v>1.9328000000000001</v>
      </c>
      <c r="H9" s="46">
        <v>1.9327000000000001</v>
      </c>
      <c r="I9" s="46">
        <f t="shared" si="0"/>
        <v>1.9323999999999999</v>
      </c>
      <c r="J9" s="46">
        <f t="shared" si="1"/>
        <v>1.9328000000000001</v>
      </c>
      <c r="K9" s="46">
        <f>MODE(C9:H9)</f>
        <v>1.9328000000000001</v>
      </c>
      <c r="L9" s="46">
        <f t="shared" si="2"/>
        <v>-4.0000000000017799E-4</v>
      </c>
      <c r="M9" s="46">
        <f t="shared" si="3"/>
        <v>0</v>
      </c>
      <c r="N9" s="61">
        <v>160.25</v>
      </c>
      <c r="O9" s="46">
        <f t="shared" si="4"/>
        <v>1.4000000000000679E-3</v>
      </c>
      <c r="P9" s="46">
        <f t="shared" si="4"/>
        <v>1.6000000000000458E-3</v>
      </c>
      <c r="Q9" s="46">
        <f t="shared" si="4"/>
        <v>1.3999999999998458E-3</v>
      </c>
      <c r="R9" s="46">
        <f t="shared" si="4"/>
        <v>2.0000000000000018E-3</v>
      </c>
      <c r="S9" s="46">
        <f t="shared" si="4"/>
        <v>1.7000000000000348E-3</v>
      </c>
      <c r="T9" s="46">
        <f t="shared" si="4"/>
        <v>1.7000000000000348E-3</v>
      </c>
      <c r="U9" s="46">
        <f t="shared" si="5"/>
        <v>1.3999999999998458E-3</v>
      </c>
      <c r="V9" s="46">
        <f t="shared" si="6"/>
        <v>2.0000000000000018E-3</v>
      </c>
      <c r="W9" s="46">
        <f t="shared" si="7"/>
        <v>1.7000000000000348E-3</v>
      </c>
      <c r="X9" s="46">
        <f t="shared" si="8"/>
        <v>-3.00000000000189E-4</v>
      </c>
      <c r="Y9" s="46">
        <f t="shared" si="9"/>
        <v>2.9999999999996696E-4</v>
      </c>
      <c r="Z9" s="63">
        <v>160.25</v>
      </c>
      <c r="AA9" s="63">
        <v>160.25</v>
      </c>
      <c r="AB9" s="63">
        <v>160.25</v>
      </c>
      <c r="AC9" s="63">
        <v>160.25</v>
      </c>
      <c r="AD9" s="63">
        <v>160.25</v>
      </c>
      <c r="AE9" s="63">
        <v>160.25</v>
      </c>
      <c r="AF9" s="63">
        <v>160.25</v>
      </c>
      <c r="AG9" s="63">
        <v>160.25</v>
      </c>
    </row>
    <row r="10" spans="1:33" ht="15" customHeight="1" x14ac:dyDescent="0.25">
      <c r="A10" s="46">
        <v>175</v>
      </c>
      <c r="B10" s="61">
        <v>175</v>
      </c>
      <c r="C10" s="46">
        <v>1.93485</v>
      </c>
      <c r="D10" s="46">
        <v>1.93475</v>
      </c>
      <c r="E10" s="46">
        <v>1.93485</v>
      </c>
      <c r="F10" s="46">
        <v>1.9347000000000001</v>
      </c>
      <c r="G10" s="46">
        <v>1.9346000000000001</v>
      </c>
      <c r="H10" s="46">
        <v>1.93465</v>
      </c>
      <c r="I10" s="46">
        <f t="shared" si="0"/>
        <v>1.9346000000000001</v>
      </c>
      <c r="J10" s="46">
        <f t="shared" si="1"/>
        <v>1.93485</v>
      </c>
      <c r="K10" s="46">
        <f>MODE(C10:H10)</f>
        <v>1.93485</v>
      </c>
      <c r="L10" s="46">
        <f t="shared" si="2"/>
        <v>-2.4999999999986144E-4</v>
      </c>
      <c r="M10" s="46">
        <f t="shared" si="3"/>
        <v>0</v>
      </c>
      <c r="N10" s="61">
        <v>175</v>
      </c>
      <c r="O10" s="46">
        <f t="shared" si="4"/>
        <v>3.6499999999999311E-3</v>
      </c>
      <c r="P10" s="46">
        <f t="shared" si="4"/>
        <v>3.5499999999999421E-3</v>
      </c>
      <c r="Q10" s="46">
        <f t="shared" si="4"/>
        <v>3.8499999999999091E-3</v>
      </c>
      <c r="R10" s="46">
        <f t="shared" si="4"/>
        <v>3.9000000000000146E-3</v>
      </c>
      <c r="S10" s="46">
        <f t="shared" si="4"/>
        <v>3.5000000000000586E-3</v>
      </c>
      <c r="T10" s="46">
        <f t="shared" si="4"/>
        <v>3.6499999999999311E-3</v>
      </c>
      <c r="U10" s="46">
        <f t="shared" si="5"/>
        <v>3.5000000000000586E-3</v>
      </c>
      <c r="V10" s="46">
        <f t="shared" si="6"/>
        <v>3.9000000000000146E-3</v>
      </c>
      <c r="W10" s="46">
        <f t="shared" si="7"/>
        <v>3.6499999999999311E-3</v>
      </c>
      <c r="X10" s="46">
        <f t="shared" si="8"/>
        <v>-1.4999999999987246E-4</v>
      </c>
      <c r="Y10" s="46">
        <f t="shared" si="9"/>
        <v>2.5000000000008349E-4</v>
      </c>
      <c r="Z10" s="63">
        <v>175</v>
      </c>
      <c r="AA10" s="63">
        <v>175</v>
      </c>
      <c r="AB10" s="63">
        <v>175</v>
      </c>
      <c r="AC10" s="63">
        <v>175</v>
      </c>
      <c r="AD10" s="63">
        <v>175</v>
      </c>
      <c r="AE10" s="63">
        <v>175</v>
      </c>
      <c r="AF10" s="63">
        <v>175</v>
      </c>
      <c r="AG10" s="63">
        <v>175</v>
      </c>
    </row>
    <row r="11" spans="1:33" ht="15" customHeight="1" x14ac:dyDescent="0.25">
      <c r="A11" s="46" t="s">
        <v>69</v>
      </c>
      <c r="B11" s="61"/>
      <c r="C11" s="46">
        <v>0.62260000000000004</v>
      </c>
      <c r="D11" s="46">
        <v>0.62260000000000004</v>
      </c>
      <c r="E11" s="46">
        <v>0.62260000000000004</v>
      </c>
      <c r="F11" s="46">
        <v>0.62260000000000004</v>
      </c>
      <c r="G11" s="46">
        <v>0.62260000000000004</v>
      </c>
      <c r="H11" s="46">
        <v>0.62260000000000004</v>
      </c>
      <c r="I11" s="46"/>
      <c r="J11" s="46"/>
      <c r="K11" s="46">
        <f>ROUND(AVERAGE(C11:H11),4)</f>
        <v>0.62260000000000004</v>
      </c>
      <c r="L11" s="46"/>
      <c r="M11" s="46"/>
      <c r="N11" s="61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63"/>
      <c r="AA11" s="63"/>
      <c r="AB11" s="63"/>
      <c r="AC11" s="63"/>
      <c r="AD11" s="63"/>
      <c r="AE11" s="63"/>
      <c r="AF11" s="63"/>
      <c r="AG11" s="63"/>
    </row>
    <row r="12" spans="1:33" ht="15" customHeight="1" x14ac:dyDescent="0.25">
      <c r="A12" s="46" t="s">
        <v>60</v>
      </c>
      <c r="C12" s="46">
        <v>7.8149999999999997E-2</v>
      </c>
      <c r="D12" s="46">
        <v>7.8149999999999997E-2</v>
      </c>
      <c r="E12" s="46">
        <v>7.8149999999999997E-2</v>
      </c>
      <c r="F12" s="46">
        <v>7.8149999999999997E-2</v>
      </c>
      <c r="G12" s="46">
        <v>7.8149999999999997E-2</v>
      </c>
      <c r="H12" s="46">
        <v>7.8149999999999997E-2</v>
      </c>
      <c r="I12" s="46">
        <f>MIN(C21:K21)</f>
        <v>7.7950000000000005E-2</v>
      </c>
      <c r="J12" s="46">
        <f>MAX(C21:K21)</f>
        <v>7.83500000000001E-2</v>
      </c>
      <c r="K12" s="46">
        <f>ROUND(AVERAGE(C12:H12),4)</f>
        <v>7.8200000000000006E-2</v>
      </c>
      <c r="L12" s="46">
        <f t="shared" ref="L12:L13" si="10">I12-K12</f>
        <v>-2.5000000000000022E-4</v>
      </c>
      <c r="M12" s="46">
        <f t="shared" ref="M12:M13" si="11">J12-K12</f>
        <v>1.500000000000945E-4</v>
      </c>
      <c r="N12" s="46"/>
      <c r="U12" s="46">
        <f>MIN(O5:T5,O9:T9)</f>
        <v>1.1999999999998678E-3</v>
      </c>
      <c r="V12" s="46">
        <f>MAX(O5:T5,O9:T9)</f>
        <v>2.0000000000000018E-3</v>
      </c>
      <c r="W12" s="46">
        <f>MODE(O5:T5,O9:T9)</f>
        <v>1.4000000000000679E-3</v>
      </c>
      <c r="X12" s="46">
        <f t="shared" si="8"/>
        <v>-2.0000000000020002E-4</v>
      </c>
      <c r="Y12" s="46">
        <f t="shared" si="9"/>
        <v>5.9999999999993392E-4</v>
      </c>
    </row>
    <row r="13" spans="1:33" ht="15" customHeight="1" x14ac:dyDescent="0.25">
      <c r="A13" s="46" t="s">
        <v>57</v>
      </c>
      <c r="C13" s="46">
        <f>C7-'Rod Journals'!$E2</f>
        <v>2.7354330708662111E-3</v>
      </c>
      <c r="D13" s="46">
        <f>D7-'Rod Journals'!$E2</f>
        <v>2.7354330708662111E-3</v>
      </c>
      <c r="E13" s="46">
        <f>E7-'Rod Journals'!$E2</f>
        <v>2.5354330708662332E-3</v>
      </c>
      <c r="F13" s="46">
        <f>F7-'Rod Journals'!$E2</f>
        <v>2.3354330708662552E-3</v>
      </c>
      <c r="G13" s="46">
        <f>G7-'Rod Journals'!$E2</f>
        <v>2.6354330708662221E-3</v>
      </c>
      <c r="H13" s="46">
        <f>H7-'Rod Journals'!$E2</f>
        <v>2.5354330708662332E-3</v>
      </c>
      <c r="I13" s="46">
        <f>MIN(C13:H13)</f>
        <v>2.3354330708662552E-3</v>
      </c>
      <c r="J13" s="46">
        <f>MAX(C13:H13)</f>
        <v>2.7354330708662111E-3</v>
      </c>
      <c r="K13" s="46">
        <f>AVERAGE(C13:H13)</f>
        <v>2.5854330708662276E-3</v>
      </c>
      <c r="L13" s="46">
        <f t="shared" si="10"/>
        <v>-2.4999999999997247E-4</v>
      </c>
      <c r="M13" s="46">
        <f t="shared" si="11"/>
        <v>1.4999999999998348E-4</v>
      </c>
      <c r="N13" s="46"/>
    </row>
    <row r="14" spans="1:33" ht="15" customHeight="1" x14ac:dyDescent="0.25">
      <c r="A14" s="46" t="s">
        <v>58</v>
      </c>
      <c r="C14" s="46">
        <f>C7-'Rod Journals'!$F2</f>
        <v>2.4204724409448986E-3</v>
      </c>
      <c r="D14" s="46">
        <f>D7-'Rod Journals'!$F2</f>
        <v>2.4204724409448986E-3</v>
      </c>
      <c r="E14" s="46">
        <f>E7-'Rod Journals'!$F2</f>
        <v>2.2204724409449206E-3</v>
      </c>
      <c r="F14" s="46">
        <f>F7-'Rod Journals'!$F2</f>
        <v>2.0204724409449426E-3</v>
      </c>
      <c r="G14" s="46">
        <f>G7-'Rod Journals'!$F2</f>
        <v>2.3204724409449096E-3</v>
      </c>
      <c r="H14" s="46">
        <f>H7-'Rod Journals'!$F2</f>
        <v>2.2204724409449206E-3</v>
      </c>
      <c r="I14" s="46">
        <f>MIN(C14:H14)</f>
        <v>2.0204724409449426E-3</v>
      </c>
      <c r="J14" s="46"/>
      <c r="K14" s="46"/>
      <c r="L14" s="46"/>
      <c r="M14" s="46"/>
    </row>
    <row r="15" spans="1:33" ht="15" customHeight="1" x14ac:dyDescent="0.25">
      <c r="A15" s="46" t="s">
        <v>59</v>
      </c>
      <c r="C15" s="46">
        <f>C7-'Rod Journals'!$D2</f>
        <v>3.0503937007873017E-3</v>
      </c>
      <c r="D15" s="46">
        <f>D7-'Rod Journals'!$D2</f>
        <v>3.0503937007873017E-3</v>
      </c>
      <c r="E15" s="46">
        <f>E7-'Rod Journals'!$D2</f>
        <v>2.8503937007873237E-3</v>
      </c>
      <c r="F15" s="46">
        <f>F7-'Rod Journals'!$D2</f>
        <v>2.6503937007873457E-3</v>
      </c>
      <c r="G15" s="46">
        <f>G7-'Rod Journals'!$D2</f>
        <v>2.9503937007873127E-3</v>
      </c>
      <c r="H15" s="46">
        <f>H7-'Rod Journals'!$D2</f>
        <v>2.8503937007873237E-3</v>
      </c>
      <c r="I15" s="46"/>
      <c r="J15" s="46">
        <f>MAX(C15:H15)</f>
        <v>3.0503937007873017E-3</v>
      </c>
      <c r="K15" s="46"/>
      <c r="L15" s="46"/>
      <c r="M15" s="46"/>
    </row>
    <row r="16" spans="1:33" x14ac:dyDescent="0.25">
      <c r="A16" s="46" t="s">
        <v>62</v>
      </c>
      <c r="I16" s="46">
        <f>I14</f>
        <v>2.0204724409449426E-3</v>
      </c>
      <c r="J16" s="46">
        <f>J15</f>
        <v>3.0503937007873017E-3</v>
      </c>
      <c r="K16" s="46">
        <f>AVERAGE(I16:J16)</f>
        <v>2.5354330708661221E-3</v>
      </c>
      <c r="L16" s="46">
        <f>I16-K16</f>
        <v>-5.1496062992117952E-4</v>
      </c>
      <c r="M16" s="46">
        <f>J16-K16</f>
        <v>5.1496062992117952E-4</v>
      </c>
    </row>
    <row r="17" spans="1:17" x14ac:dyDescent="0.25">
      <c r="A17" s="46" t="s">
        <v>63</v>
      </c>
      <c r="I17" s="46">
        <f>MIN(C14:H14)</f>
        <v>2.0204724409449426E-3</v>
      </c>
      <c r="J17" s="46">
        <f>MAX(C15:H15)</f>
        <v>3.0503937007873017E-3</v>
      </c>
      <c r="K17" s="46">
        <f>AVERAGE(I17:J17)</f>
        <v>2.5354330708661221E-3</v>
      </c>
      <c r="L17" s="46">
        <f>I17-K17</f>
        <v>-5.1496062992117952E-4</v>
      </c>
      <c r="M17" s="46">
        <f>J17-K17</f>
        <v>5.1496062992117952E-4</v>
      </c>
    </row>
    <row r="20" spans="1:17" x14ac:dyDescent="0.25">
      <c r="A20" s="46" t="s">
        <v>96</v>
      </c>
      <c r="C20" s="46"/>
      <c r="D20" s="46">
        <f t="shared" ref="D20:F20" si="12">D21-$H21</f>
        <v>-2.0000000000000573E-4</v>
      </c>
      <c r="E20" s="46">
        <f t="shared" si="12"/>
        <v>-1.5000000000001124E-4</v>
      </c>
      <c r="F20" s="46">
        <f t="shared" si="12"/>
        <v>-1.0000000000000286E-4</v>
      </c>
      <c r="G20" s="46">
        <f>G21-$H21</f>
        <v>-5.0000000000008371E-5</v>
      </c>
      <c r="H20" s="46">
        <f t="shared" ref="H20:L20" si="13">H21-$H21</f>
        <v>0</v>
      </c>
      <c r="I20" s="46">
        <f t="shared" si="13"/>
        <v>5.0000000000091638E-5</v>
      </c>
      <c r="J20" s="46">
        <f t="shared" si="13"/>
        <v>1.0000000000010001E-4</v>
      </c>
      <c r="K20" s="46">
        <f t="shared" si="13"/>
        <v>1.500000000000945E-4</v>
      </c>
      <c r="L20" s="46">
        <f t="shared" si="13"/>
        <v>2.00000000000089E-4</v>
      </c>
      <c r="M20" s="46"/>
      <c r="N20" s="46"/>
      <c r="O20" s="46"/>
    </row>
    <row r="21" spans="1:17" x14ac:dyDescent="0.25">
      <c r="A21" s="46" t="s">
        <v>97</v>
      </c>
      <c r="B21" s="46">
        <v>7.7899999999999997E-2</v>
      </c>
      <c r="C21" s="46">
        <v>7.7950000000000005E-2</v>
      </c>
      <c r="D21" s="46">
        <v>7.8E-2</v>
      </c>
      <c r="E21" s="46">
        <v>7.8049999999999994E-2</v>
      </c>
      <c r="F21" s="46">
        <v>7.8100000000000003E-2</v>
      </c>
      <c r="G21" s="46">
        <v>7.8149999999999997E-2</v>
      </c>
      <c r="H21" s="46">
        <v>7.8200000000000006E-2</v>
      </c>
      <c r="I21" s="46">
        <v>7.8250000000000097E-2</v>
      </c>
      <c r="J21" s="46">
        <v>7.8300000000000106E-2</v>
      </c>
      <c r="K21" s="46">
        <v>7.83500000000001E-2</v>
      </c>
      <c r="L21" s="46">
        <v>7.8400000000000095E-2</v>
      </c>
      <c r="M21" s="46">
        <v>7.8450000000000103E-2</v>
      </c>
      <c r="N21" s="46">
        <v>7.8500000000000097E-2</v>
      </c>
      <c r="O21" s="46">
        <v>7.8550000000000106E-2</v>
      </c>
      <c r="P21" s="46">
        <v>7.86000000000001E-2</v>
      </c>
      <c r="Q21" s="9" t="s">
        <v>98</v>
      </c>
    </row>
    <row r="22" spans="1:17" x14ac:dyDescent="0.25">
      <c r="A22" s="46" t="s">
        <v>99</v>
      </c>
      <c r="B22" s="70">
        <v>0</v>
      </c>
      <c r="C22" s="70">
        <v>8</v>
      </c>
      <c r="D22" s="70">
        <v>101</v>
      </c>
      <c r="E22" s="70">
        <v>135</v>
      </c>
      <c r="F22" s="70">
        <v>266</v>
      </c>
      <c r="G22" s="70">
        <v>267</v>
      </c>
      <c r="H22" s="70">
        <v>167</v>
      </c>
      <c r="I22" s="70">
        <v>49</v>
      </c>
      <c r="J22" s="70">
        <v>35</v>
      </c>
      <c r="K22" s="70">
        <v>4</v>
      </c>
      <c r="L22" s="70">
        <v>0</v>
      </c>
      <c r="M22" s="70"/>
      <c r="N22" s="70"/>
      <c r="O22" s="70"/>
      <c r="P22" s="70"/>
      <c r="Q22" s="9">
        <f>SUM(B22:P22)</f>
        <v>1032</v>
      </c>
    </row>
    <row r="23" spans="1:17" x14ac:dyDescent="0.25">
      <c r="A23" s="46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7" x14ac:dyDescent="0.25">
      <c r="A24" s="46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7" x14ac:dyDescent="0.25">
      <c r="A25" s="46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x14ac:dyDescent="0.25">
      <c r="A26" s="46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46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7" x14ac:dyDescent="0.25">
      <c r="A28" s="46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7" x14ac:dyDescent="0.25">
      <c r="A29" s="46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7" x14ac:dyDescent="0.25">
      <c r="A30" s="46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7" x14ac:dyDescent="0.25">
      <c r="A31" s="46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7" x14ac:dyDescent="0.25">
      <c r="A32" s="4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x14ac:dyDescent="0.25">
      <c r="A33" s="46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x14ac:dyDescent="0.25">
      <c r="A34" s="46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 x14ac:dyDescent="0.25">
      <c r="A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6" x14ac:dyDescent="0.25">
      <c r="A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6" x14ac:dyDescent="0.25">
      <c r="A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6" x14ac:dyDescent="0.25">
      <c r="A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6" x14ac:dyDescent="0.25">
      <c r="A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6" x14ac:dyDescent="0.25">
      <c r="A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</sheetData>
  <mergeCells count="1">
    <mergeCell ref="O2:T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K1"/>
  <sheetViews>
    <sheetView zoomScaleNormal="100" workbookViewId="0">
      <selection sqref="A1:XFD1048576"/>
    </sheetView>
  </sheetViews>
  <sheetFormatPr defaultRowHeight="15" x14ac:dyDescent="0.25"/>
  <cols>
    <col min="1" max="6" width="9.140625" style="38"/>
    <col min="7" max="8" width="9.140625" style="39"/>
    <col min="9" max="9" width="9.140625" style="38"/>
    <col min="10" max="1025" width="9.140625" style="40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Post-1 Tables</vt:lpstr>
      <vt:lpstr>Crankshaft History</vt:lpstr>
      <vt:lpstr>Crank-Main</vt:lpstr>
      <vt:lpstr>Rod Journals</vt:lpstr>
      <vt:lpstr>Connecting Rod Dimensions</vt:lpstr>
      <vt:lpstr>Virgin 439_440</vt:lpstr>
      <vt:lpstr>BEB SP1534HK</vt:lpstr>
      <vt:lpstr>Rod Bearing 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Collins</dc:creator>
  <cp:lastModifiedBy>Robert Collins</cp:lastModifiedBy>
  <cp:revision>0</cp:revision>
  <dcterms:created xsi:type="dcterms:W3CDTF">2013-07-29T04:04:48Z</dcterms:created>
  <dcterms:modified xsi:type="dcterms:W3CDTF">2016-12-16T06:03:26Z</dcterms:modified>
</cp:coreProperties>
</file>