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0" windowWidth="16380" windowHeight="7470" firstSheet="10" activeTab="13"/>
  </bookViews>
  <sheets>
    <sheet name="Post-1 Tables" sheetId="2" r:id="rId1"/>
    <sheet name="Crankshaft History" sheetId="3" r:id="rId2"/>
    <sheet name="Crank-Main" sheetId="11" r:id="rId3"/>
    <sheet name="Rod Journals" sheetId="6" r:id="rId4"/>
    <sheet name="Connecting Rod Dimensions" sheetId="17" r:id="rId5"/>
    <sheet name="Connecting Rod Bolts" sheetId="18" r:id="rId6"/>
    <sheet name="OEM Rod Bolts" sheetId="23" r:id="rId7"/>
    <sheet name="ARP-2000 Rod Bolts" sheetId="21" r:id="rId8"/>
    <sheet name="ARP-625 Rod Bolts" sheetId="22" r:id="rId9"/>
    <sheet name="Carrillo WMC Rod Bolts" sheetId="24" r:id="rId10"/>
    <sheet name="Virgin 088_089" sheetId="12" r:id="rId11"/>
    <sheet name="Virgin 702_703" sheetId="9" r:id="rId12"/>
    <sheet name="BE Bearings Clevite" sheetId="19" r:id="rId13"/>
    <sheet name="ACL Bearings" sheetId="26" r:id="rId14"/>
    <sheet name="Virgin Calico" sheetId="14" r:id="rId15"/>
    <sheet name="Virgin VAC_Clevite" sheetId="16" r:id="rId16"/>
    <sheet name="Virgin WPC" sheetId="15" r:id="rId17"/>
    <sheet name="Rod Bearing History" sheetId="7" r:id="rId18"/>
    <sheet name="Sheet1" sheetId="8" r:id="rId19"/>
    <sheet name="BMW Parts Lists" sheetId="20" r:id="rId20"/>
    <sheet name="Sheet2" sheetId="25" r:id="rId21"/>
  </sheets>
  <calcPr calcId="145621"/>
</workbook>
</file>

<file path=xl/calcChain.xml><?xml version="1.0" encoding="utf-8"?>
<calcChain xmlns="http://schemas.openxmlformats.org/spreadsheetml/2006/main">
  <c r="O16" i="26" l="1"/>
  <c r="S12" i="26"/>
  <c r="AA4" i="26"/>
  <c r="AB4" i="26"/>
  <c r="AA5" i="26"/>
  <c r="AB5" i="26"/>
  <c r="AA6" i="26"/>
  <c r="AB6" i="26"/>
  <c r="AA7" i="26"/>
  <c r="AB7" i="26"/>
  <c r="AA8" i="26"/>
  <c r="AB8" i="26"/>
  <c r="AA9" i="26"/>
  <c r="AB9" i="26"/>
  <c r="AA10" i="26"/>
  <c r="AB10" i="26"/>
  <c r="K21" i="26"/>
  <c r="AA21" i="26" s="1"/>
  <c r="L21" i="26"/>
  <c r="AB21" i="26" s="1"/>
  <c r="K13" i="26"/>
  <c r="L13" i="26"/>
  <c r="M12" i="26"/>
  <c r="N12" i="26"/>
  <c r="O12" i="26"/>
  <c r="M5" i="26"/>
  <c r="N5" i="26"/>
  <c r="O5" i="26"/>
  <c r="M6" i="26"/>
  <c r="N6" i="26"/>
  <c r="O6" i="26"/>
  <c r="M7" i="26"/>
  <c r="N7" i="26"/>
  <c r="O7" i="26"/>
  <c r="M8" i="26"/>
  <c r="N8" i="26"/>
  <c r="O8" i="26"/>
  <c r="M9" i="26"/>
  <c r="N9" i="26"/>
  <c r="O9" i="26"/>
  <c r="M10" i="26"/>
  <c r="N10" i="26"/>
  <c r="O10" i="26"/>
  <c r="M11" i="26"/>
  <c r="N11" i="26"/>
  <c r="O11" i="26"/>
  <c r="O4" i="26"/>
  <c r="N4" i="26"/>
  <c r="M4" i="26"/>
  <c r="T8" i="26"/>
  <c r="J14" i="26"/>
  <c r="I15" i="26"/>
  <c r="H15" i="26"/>
  <c r="F14" i="26"/>
  <c r="E15" i="26"/>
  <c r="D15" i="26"/>
  <c r="S9" i="26"/>
  <c r="Z6" i="26"/>
  <c r="Y6" i="26"/>
  <c r="X6" i="26"/>
  <c r="V6" i="26"/>
  <c r="U6" i="26"/>
  <c r="T6" i="26"/>
  <c r="Z5" i="26"/>
  <c r="V5" i="26"/>
  <c r="Y5" i="26"/>
  <c r="X5" i="26"/>
  <c r="W5" i="26"/>
  <c r="U5" i="26"/>
  <c r="T5" i="26"/>
  <c r="Y4" i="26"/>
  <c r="X4" i="26"/>
  <c r="W4" i="26"/>
  <c r="U4" i="26"/>
  <c r="T4" i="26"/>
  <c r="P12" i="26" l="1"/>
  <c r="Q12" i="26"/>
  <c r="Q11" i="26"/>
  <c r="P11" i="26"/>
  <c r="U10" i="26"/>
  <c r="Y10" i="26"/>
  <c r="V7" i="26"/>
  <c r="V9" i="26"/>
  <c r="Z9" i="26"/>
  <c r="V4" i="26"/>
  <c r="Z4" i="26"/>
  <c r="S5" i="26"/>
  <c r="F13" i="26"/>
  <c r="F21" i="26"/>
  <c r="V21" i="26" s="1"/>
  <c r="J13" i="26"/>
  <c r="J21" i="26"/>
  <c r="Z21" i="26" s="1"/>
  <c r="Y8" i="26"/>
  <c r="T9" i="26"/>
  <c r="X9" i="26"/>
  <c r="V10" i="26"/>
  <c r="Z10" i="26"/>
  <c r="E14" i="26"/>
  <c r="S6" i="26"/>
  <c r="W6" i="26"/>
  <c r="Z7" i="26"/>
  <c r="V8" i="26"/>
  <c r="Z8" i="26"/>
  <c r="U9" i="26"/>
  <c r="Y9" i="26"/>
  <c r="I14" i="26"/>
  <c r="S7" i="26"/>
  <c r="C21" i="26"/>
  <c r="C13" i="26"/>
  <c r="C15" i="26"/>
  <c r="C14" i="26"/>
  <c r="G21" i="26"/>
  <c r="W21" i="26" s="1"/>
  <c r="G13" i="26"/>
  <c r="G15" i="26"/>
  <c r="G14" i="26"/>
  <c r="P7" i="26"/>
  <c r="D14" i="26"/>
  <c r="T10" i="26"/>
  <c r="D21" i="26"/>
  <c r="D13" i="26"/>
  <c r="T7" i="26"/>
  <c r="H14" i="26"/>
  <c r="X10" i="26"/>
  <c r="H21" i="26"/>
  <c r="X21" i="26" s="1"/>
  <c r="H13" i="26"/>
  <c r="X7" i="26"/>
  <c r="W7" i="26"/>
  <c r="U8" i="26"/>
  <c r="W9" i="26"/>
  <c r="S10" i="26"/>
  <c r="W10" i="26"/>
  <c r="S4" i="26"/>
  <c r="S8" i="26"/>
  <c r="W8" i="26"/>
  <c r="X8" i="26"/>
  <c r="P8" i="26"/>
  <c r="U7" i="26"/>
  <c r="Y7" i="26"/>
  <c r="Q8" i="26"/>
  <c r="F15" i="26"/>
  <c r="J15" i="26"/>
  <c r="E13" i="26"/>
  <c r="I13" i="26"/>
  <c r="E21" i="26"/>
  <c r="U21" i="26" s="1"/>
  <c r="I21" i="26"/>
  <c r="Y21" i="26" s="1"/>
  <c r="B135" i="2"/>
  <c r="B134" i="2"/>
  <c r="B133" i="2"/>
  <c r="C135" i="2"/>
  <c r="C134" i="2"/>
  <c r="C133" i="2"/>
  <c r="Q54" i="19"/>
  <c r="B130" i="2"/>
  <c r="C130" i="2"/>
  <c r="C128" i="2"/>
  <c r="B128" i="2"/>
  <c r="B129" i="2"/>
  <c r="C129" i="2"/>
  <c r="AD5" i="26" l="1"/>
  <c r="AC11" i="26"/>
  <c r="AE11" i="26"/>
  <c r="AD11" i="26"/>
  <c r="AE5" i="26"/>
  <c r="T21" i="26"/>
  <c r="O21" i="26"/>
  <c r="N21" i="26"/>
  <c r="M21" i="26"/>
  <c r="M13" i="26"/>
  <c r="O13" i="26"/>
  <c r="Q13" i="26" s="1"/>
  <c r="N13" i="26"/>
  <c r="AC6" i="26"/>
  <c r="AE6" i="26"/>
  <c r="AF6" i="26" s="1"/>
  <c r="AD6" i="26"/>
  <c r="AC5" i="26"/>
  <c r="AF5" i="26" s="1"/>
  <c r="P5" i="26"/>
  <c r="P6" i="26"/>
  <c r="Q7" i="26"/>
  <c r="Q10" i="26"/>
  <c r="Q6" i="26"/>
  <c r="Q4" i="26"/>
  <c r="AE9" i="26"/>
  <c r="AG5" i="26"/>
  <c r="P9" i="26"/>
  <c r="P4" i="26"/>
  <c r="P10" i="26"/>
  <c r="Q9" i="26"/>
  <c r="AE7" i="26"/>
  <c r="AD7" i="26"/>
  <c r="AC7" i="26"/>
  <c r="AC4" i="26"/>
  <c r="AE4" i="26"/>
  <c r="AD4" i="26"/>
  <c r="Q5" i="26"/>
  <c r="AC9" i="26"/>
  <c r="AC8" i="26"/>
  <c r="AE8" i="26"/>
  <c r="AD8" i="26"/>
  <c r="S21" i="26"/>
  <c r="AD9" i="26"/>
  <c r="AD10" i="26"/>
  <c r="AC10" i="26"/>
  <c r="AE10" i="26"/>
  <c r="M46" i="19"/>
  <c r="L46" i="19"/>
  <c r="K46" i="19"/>
  <c r="J46" i="19"/>
  <c r="I46" i="19"/>
  <c r="H46" i="19"/>
  <c r="G46" i="19"/>
  <c r="F46" i="19"/>
  <c r="Q46" i="19" s="1"/>
  <c r="P13" i="26" l="1"/>
  <c r="AG9" i="26"/>
  <c r="AG8" i="26"/>
  <c r="AG4" i="26"/>
  <c r="AF7" i="26"/>
  <c r="AG6" i="26"/>
  <c r="AF8" i="26"/>
  <c r="AF10" i="26"/>
  <c r="AG7" i="26"/>
  <c r="AG10" i="26"/>
  <c r="AF9" i="26"/>
  <c r="AF11" i="26"/>
  <c r="M14" i="26"/>
  <c r="M16" i="26" s="1"/>
  <c r="AG11" i="26"/>
  <c r="N15" i="26"/>
  <c r="N16" i="26" s="1"/>
  <c r="AC21" i="26"/>
  <c r="Q21" i="26"/>
  <c r="AF4" i="26"/>
  <c r="X34" i="24"/>
  <c r="W34" i="24"/>
  <c r="V34" i="24"/>
  <c r="U34" i="24"/>
  <c r="T34" i="24"/>
  <c r="S34" i="24"/>
  <c r="R34" i="24"/>
  <c r="Q34" i="24"/>
  <c r="X33" i="24"/>
  <c r="W33" i="24"/>
  <c r="V33" i="24"/>
  <c r="U33" i="24"/>
  <c r="T33" i="24"/>
  <c r="S33" i="24"/>
  <c r="R33" i="24"/>
  <c r="Q33" i="24"/>
  <c r="X32" i="24"/>
  <c r="W32" i="24"/>
  <c r="V32" i="24"/>
  <c r="U32" i="24"/>
  <c r="T32" i="24"/>
  <c r="S32" i="24"/>
  <c r="R32" i="24"/>
  <c r="Q32" i="24"/>
  <c r="X31" i="24"/>
  <c r="W31" i="24"/>
  <c r="V31" i="24"/>
  <c r="U31" i="24"/>
  <c r="T31" i="24"/>
  <c r="S31" i="24"/>
  <c r="R31" i="24"/>
  <c r="Q31" i="24"/>
  <c r="X30" i="24"/>
  <c r="W30" i="24"/>
  <c r="V30" i="24"/>
  <c r="U30" i="24"/>
  <c r="T30" i="24"/>
  <c r="S30" i="24"/>
  <c r="R30" i="24"/>
  <c r="Q30" i="24"/>
  <c r="X29" i="24"/>
  <c r="W29" i="24"/>
  <c r="V29" i="24"/>
  <c r="U29" i="24"/>
  <c r="T29" i="24"/>
  <c r="S29" i="24"/>
  <c r="R29" i="24"/>
  <c r="Q29" i="24"/>
  <c r="D29" i="24"/>
  <c r="X28" i="24"/>
  <c r="W28" i="24"/>
  <c r="V28" i="24"/>
  <c r="U28" i="24"/>
  <c r="T28" i="24"/>
  <c r="S28" i="24"/>
  <c r="R28" i="24"/>
  <c r="Q28" i="24"/>
  <c r="O28" i="24"/>
  <c r="M28" i="24"/>
  <c r="L28" i="24"/>
  <c r="K28" i="24"/>
  <c r="N28" i="24" s="1"/>
  <c r="AF27" i="24"/>
  <c r="AF34" i="24" s="1"/>
  <c r="AE27" i="24"/>
  <c r="AE34" i="24" s="1"/>
  <c r="AD27" i="24"/>
  <c r="AD34" i="24" s="1"/>
  <c r="AC27" i="24"/>
  <c r="AC34" i="24" s="1"/>
  <c r="AB27" i="24"/>
  <c r="AB34" i="24" s="1"/>
  <c r="AA27" i="24"/>
  <c r="AA34" i="24" s="1"/>
  <c r="Z27" i="24"/>
  <c r="Z34" i="24" s="1"/>
  <c r="Y27" i="24"/>
  <c r="Y34" i="24" s="1"/>
  <c r="X27" i="24"/>
  <c r="W27" i="24"/>
  <c r="V27" i="24"/>
  <c r="U27" i="24"/>
  <c r="T27" i="24"/>
  <c r="S27" i="24"/>
  <c r="R27" i="24"/>
  <c r="Q27" i="24"/>
  <c r="M27" i="24"/>
  <c r="L27" i="24"/>
  <c r="K27" i="24"/>
  <c r="AF26" i="24"/>
  <c r="AF33" i="24" s="1"/>
  <c r="AE26" i="24"/>
  <c r="AE33" i="24" s="1"/>
  <c r="AD26" i="24"/>
  <c r="AD33" i="24" s="1"/>
  <c r="AC26" i="24"/>
  <c r="AC33" i="24" s="1"/>
  <c r="AB26" i="24"/>
  <c r="AB33" i="24" s="1"/>
  <c r="AA26" i="24"/>
  <c r="AA33" i="24" s="1"/>
  <c r="Z26" i="24"/>
  <c r="Z33" i="24" s="1"/>
  <c r="Y26" i="24"/>
  <c r="Y33" i="24" s="1"/>
  <c r="X26" i="24"/>
  <c r="W26" i="24"/>
  <c r="V26" i="24"/>
  <c r="U26" i="24"/>
  <c r="T26" i="24"/>
  <c r="S26" i="24"/>
  <c r="R26" i="24"/>
  <c r="Q26" i="24"/>
  <c r="M26" i="24"/>
  <c r="L26" i="24"/>
  <c r="K26" i="24"/>
  <c r="AF25" i="24"/>
  <c r="AF32" i="24" s="1"/>
  <c r="AE25" i="24"/>
  <c r="AE32" i="24" s="1"/>
  <c r="AD25" i="24"/>
  <c r="AD32" i="24" s="1"/>
  <c r="AC25" i="24"/>
  <c r="AC32" i="24" s="1"/>
  <c r="AB25" i="24"/>
  <c r="AB32" i="24" s="1"/>
  <c r="AA25" i="24"/>
  <c r="AA32" i="24" s="1"/>
  <c r="Z25" i="24"/>
  <c r="Z32" i="24" s="1"/>
  <c r="Y25" i="24"/>
  <c r="Y32" i="24" s="1"/>
  <c r="X25" i="24"/>
  <c r="W25" i="24"/>
  <c r="V25" i="24"/>
  <c r="U25" i="24"/>
  <c r="T25" i="24"/>
  <c r="S25" i="24"/>
  <c r="R25" i="24"/>
  <c r="Q25" i="24"/>
  <c r="M25" i="24"/>
  <c r="L25" i="24"/>
  <c r="K25" i="24"/>
  <c r="AF24" i="24"/>
  <c r="AF31" i="24" s="1"/>
  <c r="AE24" i="24"/>
  <c r="AE31" i="24" s="1"/>
  <c r="AD24" i="24"/>
  <c r="AD31" i="24" s="1"/>
  <c r="AC24" i="24"/>
  <c r="AC31" i="24" s="1"/>
  <c r="AB24" i="24"/>
  <c r="AB31" i="24" s="1"/>
  <c r="AA24" i="24"/>
  <c r="AA31" i="24" s="1"/>
  <c r="Z24" i="24"/>
  <c r="Z31" i="24" s="1"/>
  <c r="Y24" i="24"/>
  <c r="Y31" i="24" s="1"/>
  <c r="X24" i="24"/>
  <c r="W24" i="24"/>
  <c r="V24" i="24"/>
  <c r="U24" i="24"/>
  <c r="T24" i="24"/>
  <c r="S24" i="24"/>
  <c r="R24" i="24"/>
  <c r="Q24" i="24"/>
  <c r="M24" i="24"/>
  <c r="L24" i="24"/>
  <c r="K24" i="24"/>
  <c r="AF23" i="24"/>
  <c r="AF30" i="24" s="1"/>
  <c r="AE23" i="24"/>
  <c r="AE30" i="24" s="1"/>
  <c r="AD23" i="24"/>
  <c r="AD30" i="24" s="1"/>
  <c r="AC23" i="24"/>
  <c r="AC30" i="24" s="1"/>
  <c r="AB23" i="24"/>
  <c r="AB30" i="24" s="1"/>
  <c r="AA23" i="24"/>
  <c r="AA30" i="24" s="1"/>
  <c r="Z23" i="24"/>
  <c r="Z30" i="24" s="1"/>
  <c r="Y23" i="24"/>
  <c r="Y30" i="24" s="1"/>
  <c r="X23" i="24"/>
  <c r="W23" i="24"/>
  <c r="V23" i="24"/>
  <c r="U23" i="24"/>
  <c r="T23" i="24"/>
  <c r="S23" i="24"/>
  <c r="R23" i="24"/>
  <c r="Q23" i="24"/>
  <c r="M23" i="24"/>
  <c r="L23" i="24"/>
  <c r="K23" i="24"/>
  <c r="AF22" i="24"/>
  <c r="AF29" i="24" s="1"/>
  <c r="AE22" i="24"/>
  <c r="AE29" i="24" s="1"/>
  <c r="AD22" i="24"/>
  <c r="AD29" i="24" s="1"/>
  <c r="AC22" i="24"/>
  <c r="AC29" i="24" s="1"/>
  <c r="AB22" i="24"/>
  <c r="AB29" i="24" s="1"/>
  <c r="AA22" i="24"/>
  <c r="AA29" i="24" s="1"/>
  <c r="Z22" i="24"/>
  <c r="Z29" i="24" s="1"/>
  <c r="Y22" i="24"/>
  <c r="Y29" i="24" s="1"/>
  <c r="X22" i="24"/>
  <c r="W22" i="24"/>
  <c r="V22" i="24"/>
  <c r="U22" i="24"/>
  <c r="T22" i="24"/>
  <c r="S22" i="24"/>
  <c r="R22" i="24"/>
  <c r="Q22" i="24"/>
  <c r="M22" i="24"/>
  <c r="L22" i="24"/>
  <c r="K22" i="24"/>
  <c r="AF21" i="24"/>
  <c r="AF28" i="24" s="1"/>
  <c r="AE21" i="24"/>
  <c r="AE28" i="24" s="1"/>
  <c r="AD21" i="24"/>
  <c r="AD28" i="24" s="1"/>
  <c r="AC21" i="24"/>
  <c r="AC28" i="24" s="1"/>
  <c r="AB21" i="24"/>
  <c r="AB28" i="24" s="1"/>
  <c r="AA21" i="24"/>
  <c r="AA28" i="24" s="1"/>
  <c r="Z21" i="24"/>
  <c r="Z28" i="24" s="1"/>
  <c r="Y21" i="24"/>
  <c r="Y28" i="24" s="1"/>
  <c r="X21" i="24"/>
  <c r="W21" i="24"/>
  <c r="V21" i="24"/>
  <c r="U21" i="24"/>
  <c r="T21" i="24"/>
  <c r="S21" i="24"/>
  <c r="R21" i="24"/>
  <c r="Q21" i="24"/>
  <c r="M21" i="24"/>
  <c r="L21" i="24"/>
  <c r="K21" i="24"/>
  <c r="AD21" i="26" l="1"/>
  <c r="AE21" i="26" s="1"/>
  <c r="AF21" i="26" s="1"/>
  <c r="P21" i="26"/>
  <c r="N27" i="24"/>
  <c r="N25" i="24"/>
  <c r="O24" i="24"/>
  <c r="O21" i="24"/>
  <c r="O26" i="24"/>
  <c r="N26" i="24"/>
  <c r="O22" i="24"/>
  <c r="N22" i="24"/>
  <c r="N24" i="24"/>
  <c r="O27" i="24"/>
  <c r="N23" i="24"/>
  <c r="O23" i="24"/>
  <c r="O25" i="24"/>
  <c r="N21" i="24"/>
  <c r="I45" i="19"/>
  <c r="H45" i="19"/>
  <c r="J45" i="19"/>
  <c r="G45" i="19"/>
  <c r="K45" i="19"/>
  <c r="F45" i="19"/>
  <c r="Q45" i="19" s="1"/>
  <c r="Q16" i="26" l="1"/>
  <c r="AG21" i="26"/>
  <c r="D7" i="17"/>
  <c r="C7" i="17"/>
  <c r="B7" i="17"/>
  <c r="C8" i="17"/>
  <c r="B8" i="17"/>
  <c r="D8" i="17" s="1"/>
  <c r="P16" i="26" l="1"/>
  <c r="H3" i="25"/>
  <c r="H2" i="25"/>
  <c r="J3" i="25"/>
  <c r="F4" i="25"/>
  <c r="H4" i="25" s="1"/>
  <c r="F5" i="25"/>
  <c r="H5" i="25" s="1"/>
  <c r="F6" i="25"/>
  <c r="H6" i="25" s="1"/>
  <c r="F7" i="25"/>
  <c r="H7" i="25" s="1"/>
  <c r="F8" i="25"/>
  <c r="H8" i="25" s="1"/>
  <c r="F9" i="25"/>
  <c r="H9" i="25" s="1"/>
  <c r="F3" i="25"/>
  <c r="I3" i="25" s="1"/>
  <c r="F2" i="25"/>
  <c r="J2" i="25" l="1"/>
  <c r="J4" i="25"/>
  <c r="J5" i="25"/>
  <c r="J6" i="25"/>
  <c r="J7" i="25"/>
  <c r="J8" i="25"/>
  <c r="J9" i="25"/>
  <c r="I4" i="25"/>
  <c r="I5" i="25"/>
  <c r="I6" i="25"/>
  <c r="I7" i="25"/>
  <c r="I8" i="25"/>
  <c r="I9" i="25"/>
  <c r="I2" i="25"/>
  <c r="R57" i="24" l="1"/>
  <c r="S57" i="24"/>
  <c r="T57" i="24"/>
  <c r="U57" i="24"/>
  <c r="V57" i="24"/>
  <c r="W57" i="24"/>
  <c r="X57" i="24"/>
  <c r="R58" i="24"/>
  <c r="S58" i="24"/>
  <c r="T58" i="24"/>
  <c r="U58" i="24"/>
  <c r="V58" i="24"/>
  <c r="W58" i="24"/>
  <c r="X58" i="24"/>
  <c r="R59" i="24"/>
  <c r="S59" i="24"/>
  <c r="T59" i="24"/>
  <c r="U59" i="24"/>
  <c r="V59" i="24"/>
  <c r="W59" i="24"/>
  <c r="X59" i="24"/>
  <c r="R60" i="24"/>
  <c r="S60" i="24"/>
  <c r="T60" i="24"/>
  <c r="U60" i="24"/>
  <c r="V60" i="24"/>
  <c r="W60" i="24"/>
  <c r="X60" i="24"/>
  <c r="R61" i="24"/>
  <c r="S61" i="24"/>
  <c r="T61" i="24"/>
  <c r="U61" i="24"/>
  <c r="V61" i="24"/>
  <c r="W61" i="24"/>
  <c r="X61" i="24"/>
  <c r="R62" i="24"/>
  <c r="S62" i="24"/>
  <c r="T62" i="24"/>
  <c r="U62" i="24"/>
  <c r="V62" i="24"/>
  <c r="W62" i="24"/>
  <c r="X62" i="24"/>
  <c r="R63" i="24"/>
  <c r="S63" i="24"/>
  <c r="T63" i="24"/>
  <c r="U63" i="24"/>
  <c r="V63" i="24"/>
  <c r="W63" i="24"/>
  <c r="X63" i="24"/>
  <c r="R64" i="24"/>
  <c r="S64" i="24"/>
  <c r="T64" i="24"/>
  <c r="U64" i="24"/>
  <c r="V64" i="24"/>
  <c r="W64" i="24"/>
  <c r="X64" i="24"/>
  <c r="R65" i="24"/>
  <c r="S65" i="24"/>
  <c r="T65" i="24"/>
  <c r="U65" i="24"/>
  <c r="V65" i="24"/>
  <c r="W65" i="24"/>
  <c r="X65" i="24"/>
  <c r="R66" i="24"/>
  <c r="S66" i="24"/>
  <c r="T66" i="24"/>
  <c r="U66" i="24"/>
  <c r="V66" i="24"/>
  <c r="W66" i="24"/>
  <c r="X66" i="24"/>
  <c r="R67" i="24"/>
  <c r="S67" i="24"/>
  <c r="T67" i="24"/>
  <c r="U67" i="24"/>
  <c r="V67" i="24"/>
  <c r="W67" i="24"/>
  <c r="X67" i="24"/>
  <c r="R68" i="24"/>
  <c r="S68" i="24"/>
  <c r="T68" i="24"/>
  <c r="U68" i="24"/>
  <c r="V68" i="24"/>
  <c r="W68" i="24"/>
  <c r="X68" i="24"/>
  <c r="R69" i="24"/>
  <c r="S69" i="24"/>
  <c r="T69" i="24"/>
  <c r="U69" i="24"/>
  <c r="V69" i="24"/>
  <c r="W69" i="24"/>
  <c r="X69" i="24"/>
  <c r="R70" i="24"/>
  <c r="S70" i="24"/>
  <c r="T70" i="24"/>
  <c r="U70" i="24"/>
  <c r="V70" i="24"/>
  <c r="W70" i="24"/>
  <c r="X70" i="24"/>
  <c r="Q70" i="24"/>
  <c r="Q69" i="24"/>
  <c r="Q68" i="24"/>
  <c r="Q67" i="24"/>
  <c r="Q66" i="24"/>
  <c r="Q65" i="24"/>
  <c r="Q64" i="24"/>
  <c r="Q63" i="24"/>
  <c r="Q62" i="24"/>
  <c r="Q61" i="24"/>
  <c r="Q60" i="24"/>
  <c r="Q59" i="24"/>
  <c r="Q58" i="24"/>
  <c r="Q57" i="24"/>
  <c r="Z57" i="24"/>
  <c r="AA57" i="24"/>
  <c r="AB57" i="24"/>
  <c r="AC57" i="24"/>
  <c r="AD57" i="24"/>
  <c r="AE57" i="24"/>
  <c r="AF57" i="24"/>
  <c r="Z58" i="24"/>
  <c r="AA58" i="24"/>
  <c r="AB58" i="24"/>
  <c r="AC58" i="24"/>
  <c r="AD58" i="24"/>
  <c r="AE58" i="24"/>
  <c r="AF58" i="24"/>
  <c r="Z59" i="24"/>
  <c r="AA59" i="24"/>
  <c r="AB59" i="24"/>
  <c r="AC59" i="24"/>
  <c r="AD59" i="24"/>
  <c r="AE59" i="24"/>
  <c r="AF59" i="24"/>
  <c r="Z60" i="24"/>
  <c r="AA60" i="24"/>
  <c r="AB60" i="24"/>
  <c r="AC60" i="24"/>
  <c r="AD60" i="24"/>
  <c r="AE60" i="24"/>
  <c r="AF60" i="24"/>
  <c r="Z61" i="24"/>
  <c r="AA61" i="24"/>
  <c r="AB61" i="24"/>
  <c r="AC61" i="24"/>
  <c r="AD61" i="24"/>
  <c r="AE61" i="24"/>
  <c r="AF61" i="24"/>
  <c r="Z62" i="24"/>
  <c r="AA62" i="24"/>
  <c r="AB62" i="24"/>
  <c r="AC62" i="24"/>
  <c r="AD62" i="24"/>
  <c r="AE62" i="24"/>
  <c r="AF62" i="24"/>
  <c r="Z63" i="24"/>
  <c r="AA63" i="24"/>
  <c r="AB63" i="24"/>
  <c r="AC63" i="24"/>
  <c r="AD63" i="24"/>
  <c r="AE63" i="24"/>
  <c r="AF63" i="24"/>
  <c r="Y63" i="24"/>
  <c r="Y62" i="24"/>
  <c r="Y61" i="24"/>
  <c r="Y60" i="24"/>
  <c r="Y59" i="24"/>
  <c r="Y58" i="24"/>
  <c r="Y57" i="24"/>
  <c r="M63" i="24"/>
  <c r="AF44" i="24"/>
  <c r="AE44" i="24"/>
  <c r="AD44" i="24"/>
  <c r="AC44" i="24"/>
  <c r="AC51" i="24" s="1"/>
  <c r="AB44" i="24"/>
  <c r="AA44" i="24"/>
  <c r="Z44" i="24"/>
  <c r="Y44" i="24"/>
  <c r="Y51" i="24" s="1"/>
  <c r="AF43" i="24"/>
  <c r="AE43" i="24"/>
  <c r="AD43" i="24"/>
  <c r="AC43" i="24"/>
  <c r="AC50" i="24" s="1"/>
  <c r="AB43" i="24"/>
  <c r="AA43" i="24"/>
  <c r="Z43" i="24"/>
  <c r="Y43" i="24"/>
  <c r="Y50" i="24" s="1"/>
  <c r="AF42" i="24"/>
  <c r="AE42" i="24"/>
  <c r="AD42" i="24"/>
  <c r="AC42" i="24"/>
  <c r="AC49" i="24" s="1"/>
  <c r="AB42" i="24"/>
  <c r="AA42" i="24"/>
  <c r="Z42" i="24"/>
  <c r="Y42" i="24"/>
  <c r="Y49" i="24" s="1"/>
  <c r="AF41" i="24"/>
  <c r="AE41" i="24"/>
  <c r="AD41" i="24"/>
  <c r="AC41" i="24"/>
  <c r="AC48" i="24" s="1"/>
  <c r="AB41" i="24"/>
  <c r="AA41" i="24"/>
  <c r="Z41" i="24"/>
  <c r="Y41" i="24"/>
  <c r="Y48" i="24" s="1"/>
  <c r="AF40" i="24"/>
  <c r="AE40" i="24"/>
  <c r="AD40" i="24"/>
  <c r="AC40" i="24"/>
  <c r="AC47" i="24" s="1"/>
  <c r="AB40" i="24"/>
  <c r="AA40" i="24"/>
  <c r="Z40" i="24"/>
  <c r="Y40" i="24"/>
  <c r="Y47" i="24" s="1"/>
  <c r="AF39" i="24"/>
  <c r="AE39" i="24"/>
  <c r="AD39" i="24"/>
  <c r="AC39" i="24"/>
  <c r="AB39" i="24"/>
  <c r="AA39" i="24"/>
  <c r="Z39" i="24"/>
  <c r="Y39" i="24"/>
  <c r="AF38" i="24"/>
  <c r="AE38" i="24"/>
  <c r="AD38" i="24"/>
  <c r="AC38" i="24"/>
  <c r="AC45" i="24" s="1"/>
  <c r="AB38" i="24"/>
  <c r="AA38" i="24"/>
  <c r="Z38" i="24"/>
  <c r="Y38" i="24"/>
  <c r="R45" i="24"/>
  <c r="S45" i="24"/>
  <c r="T45" i="24"/>
  <c r="U45" i="24"/>
  <c r="V45" i="24"/>
  <c r="W45" i="24"/>
  <c r="X45" i="24"/>
  <c r="R46" i="24"/>
  <c r="S46" i="24"/>
  <c r="T46" i="24"/>
  <c r="U46" i="24"/>
  <c r="V46" i="24"/>
  <c r="W46" i="24"/>
  <c r="X46" i="24"/>
  <c r="R47" i="24"/>
  <c r="S47" i="24"/>
  <c r="T47" i="24"/>
  <c r="U47" i="24"/>
  <c r="V47" i="24"/>
  <c r="W47" i="24"/>
  <c r="X47" i="24"/>
  <c r="R48" i="24"/>
  <c r="S48" i="24"/>
  <c r="T48" i="24"/>
  <c r="U48" i="24"/>
  <c r="V48" i="24"/>
  <c r="W48" i="24"/>
  <c r="X48" i="24"/>
  <c r="R49" i="24"/>
  <c r="S49" i="24"/>
  <c r="T49" i="24"/>
  <c r="U49" i="24"/>
  <c r="V49" i="24"/>
  <c r="W49" i="24"/>
  <c r="X49" i="24"/>
  <c r="R50" i="24"/>
  <c r="S50" i="24"/>
  <c r="T50" i="24"/>
  <c r="U50" i="24"/>
  <c r="V50" i="24"/>
  <c r="W50" i="24"/>
  <c r="X50" i="24"/>
  <c r="R51" i="24"/>
  <c r="S51" i="24"/>
  <c r="T51" i="24"/>
  <c r="U51" i="24"/>
  <c r="V51" i="24"/>
  <c r="W51" i="24"/>
  <c r="X51" i="24"/>
  <c r="Q51" i="24"/>
  <c r="Q50" i="24"/>
  <c r="Q49" i="24"/>
  <c r="Q48" i="24"/>
  <c r="Q47" i="24"/>
  <c r="Q46" i="24"/>
  <c r="Q45" i="24"/>
  <c r="R38" i="24"/>
  <c r="S38" i="24"/>
  <c r="T38" i="24"/>
  <c r="U38" i="24"/>
  <c r="V38" i="24"/>
  <c r="W38" i="24"/>
  <c r="X38" i="24"/>
  <c r="R39" i="24"/>
  <c r="S39" i="24"/>
  <c r="T39" i="24"/>
  <c r="U39" i="24"/>
  <c r="V39" i="24"/>
  <c r="W39" i="24"/>
  <c r="X39" i="24"/>
  <c r="R40" i="24"/>
  <c r="S40" i="24"/>
  <c r="T40" i="24"/>
  <c r="U40" i="24"/>
  <c r="V40" i="24"/>
  <c r="W40" i="24"/>
  <c r="X40" i="24"/>
  <c r="R41" i="24"/>
  <c r="S41" i="24"/>
  <c r="T41" i="24"/>
  <c r="U41" i="24"/>
  <c r="V41" i="24"/>
  <c r="W41" i="24"/>
  <c r="X41" i="24"/>
  <c r="R42" i="24"/>
  <c r="S42" i="24"/>
  <c r="T42" i="24"/>
  <c r="U42" i="24"/>
  <c r="V42" i="24"/>
  <c r="W42" i="24"/>
  <c r="X42" i="24"/>
  <c r="R43" i="24"/>
  <c r="S43" i="24"/>
  <c r="T43" i="24"/>
  <c r="U43" i="24"/>
  <c r="V43" i="24"/>
  <c r="W43" i="24"/>
  <c r="X43" i="24"/>
  <c r="R44" i="24"/>
  <c r="S44" i="24"/>
  <c r="T44" i="24"/>
  <c r="U44" i="24"/>
  <c r="V44" i="24"/>
  <c r="W44" i="24"/>
  <c r="X44" i="24"/>
  <c r="Q44" i="24"/>
  <c r="Q43" i="24"/>
  <c r="Q42" i="24"/>
  <c r="Q41" i="24"/>
  <c r="Q40" i="24"/>
  <c r="Q39" i="24"/>
  <c r="Q38" i="24"/>
  <c r="X17" i="24"/>
  <c r="W17" i="24"/>
  <c r="V17" i="24"/>
  <c r="U17" i="24"/>
  <c r="T17" i="24"/>
  <c r="S17" i="24"/>
  <c r="R17" i="24"/>
  <c r="Q17" i="24"/>
  <c r="X16" i="24"/>
  <c r="W16" i="24"/>
  <c r="V16" i="24"/>
  <c r="U16" i="24"/>
  <c r="T16" i="24"/>
  <c r="S16" i="24"/>
  <c r="R16" i="24"/>
  <c r="Q16" i="24"/>
  <c r="X15" i="24"/>
  <c r="W15" i="24"/>
  <c r="V15" i="24"/>
  <c r="U15" i="24"/>
  <c r="T15" i="24"/>
  <c r="S15" i="24"/>
  <c r="R15" i="24"/>
  <c r="Q15" i="24"/>
  <c r="X14" i="24"/>
  <c r="W14" i="24"/>
  <c r="V14" i="24"/>
  <c r="U14" i="24"/>
  <c r="T14" i="24"/>
  <c r="S14" i="24"/>
  <c r="R14" i="24"/>
  <c r="Q14" i="24"/>
  <c r="X13" i="24"/>
  <c r="W13" i="24"/>
  <c r="V13" i="24"/>
  <c r="U13" i="24"/>
  <c r="T13" i="24"/>
  <c r="S13" i="24"/>
  <c r="R13" i="24"/>
  <c r="Q13" i="24"/>
  <c r="X12" i="24"/>
  <c r="W12" i="24"/>
  <c r="V12" i="24"/>
  <c r="U12" i="24"/>
  <c r="T12" i="24"/>
  <c r="S12" i="24"/>
  <c r="R12" i="24"/>
  <c r="Q12" i="24"/>
  <c r="X11" i="24"/>
  <c r="W11" i="24"/>
  <c r="V11" i="24"/>
  <c r="U11" i="24"/>
  <c r="T11" i="24"/>
  <c r="S11" i="24"/>
  <c r="R11" i="24"/>
  <c r="Q11" i="24"/>
  <c r="AF10" i="24"/>
  <c r="AE10" i="24"/>
  <c r="AE17" i="24" s="1"/>
  <c r="AD10" i="24"/>
  <c r="AC10" i="24"/>
  <c r="AB10" i="24"/>
  <c r="AB17" i="24" s="1"/>
  <c r="AA10" i="24"/>
  <c r="AA17" i="24" s="1"/>
  <c r="Z10" i="24"/>
  <c r="Y10" i="24"/>
  <c r="AF9" i="24"/>
  <c r="AE9" i="24"/>
  <c r="AE16" i="24" s="1"/>
  <c r="AD9" i="24"/>
  <c r="AD16" i="24" s="1"/>
  <c r="AC9" i="24"/>
  <c r="AB9" i="24"/>
  <c r="AA9" i="24"/>
  <c r="AA16" i="24" s="1"/>
  <c r="Z9" i="24"/>
  <c r="Z16" i="24" s="1"/>
  <c r="Y9" i="24"/>
  <c r="AF8" i="24"/>
  <c r="AF15" i="24" s="1"/>
  <c r="AE8" i="24"/>
  <c r="AE15" i="24" s="1"/>
  <c r="AD8" i="24"/>
  <c r="AC8" i="24"/>
  <c r="AB8" i="24"/>
  <c r="AA8" i="24"/>
  <c r="AA15" i="24" s="1"/>
  <c r="Z8" i="24"/>
  <c r="Z15" i="24" s="1"/>
  <c r="Y8" i="24"/>
  <c r="AF7" i="24"/>
  <c r="AE7" i="24"/>
  <c r="AE14" i="24" s="1"/>
  <c r="AD7" i="24"/>
  <c r="AC7" i="24"/>
  <c r="AB7" i="24"/>
  <c r="AA7" i="24"/>
  <c r="AA14" i="24" s="1"/>
  <c r="Z7" i="24"/>
  <c r="Z14" i="24" s="1"/>
  <c r="Y7" i="24"/>
  <c r="AF6" i="24"/>
  <c r="AE6" i="24"/>
  <c r="AE13" i="24" s="1"/>
  <c r="AD6" i="24"/>
  <c r="AD13" i="24" s="1"/>
  <c r="AC6" i="24"/>
  <c r="AB6" i="24"/>
  <c r="AB13" i="24" s="1"/>
  <c r="AA6" i="24"/>
  <c r="AA13" i="24" s="1"/>
  <c r="Z6" i="24"/>
  <c r="Z13" i="24" s="1"/>
  <c r="Y6" i="24"/>
  <c r="AF5" i="24"/>
  <c r="AF12" i="24" s="1"/>
  <c r="AE5" i="24"/>
  <c r="AE12" i="24" s="1"/>
  <c r="AD5" i="24"/>
  <c r="AD12" i="24" s="1"/>
  <c r="AC5" i="24"/>
  <c r="AB5" i="24"/>
  <c r="AB12" i="24" s="1"/>
  <c r="AA5" i="24"/>
  <c r="AA12" i="24" s="1"/>
  <c r="Z5" i="24"/>
  <c r="Z12" i="24" s="1"/>
  <c r="Y5" i="24"/>
  <c r="AF4" i="24"/>
  <c r="AF11" i="24" s="1"/>
  <c r="AE4" i="24"/>
  <c r="AE11" i="24" s="1"/>
  <c r="AD4" i="24"/>
  <c r="AD11" i="24" s="1"/>
  <c r="AC4" i="24"/>
  <c r="AB4" i="24"/>
  <c r="AB11" i="24" s="1"/>
  <c r="AA4" i="24"/>
  <c r="AA11" i="24" s="1"/>
  <c r="Z4" i="24"/>
  <c r="Z11" i="24" s="1"/>
  <c r="Y4" i="24"/>
  <c r="X10" i="24"/>
  <c r="W10" i="24"/>
  <c r="V10" i="24"/>
  <c r="U10" i="24"/>
  <c r="T10" i="24"/>
  <c r="S10" i="24"/>
  <c r="R10" i="24"/>
  <c r="Q10" i="24"/>
  <c r="X9" i="24"/>
  <c r="W9" i="24"/>
  <c r="V9" i="24"/>
  <c r="U9" i="24"/>
  <c r="T9" i="24"/>
  <c r="S9" i="24"/>
  <c r="R9" i="24"/>
  <c r="Q9" i="24"/>
  <c r="X8" i="24"/>
  <c r="W8" i="24"/>
  <c r="V8" i="24"/>
  <c r="U8" i="24"/>
  <c r="T8" i="24"/>
  <c r="S8" i="24"/>
  <c r="R8" i="24"/>
  <c r="Q8" i="24"/>
  <c r="X7" i="24"/>
  <c r="W7" i="24"/>
  <c r="V7" i="24"/>
  <c r="U7" i="24"/>
  <c r="T7" i="24"/>
  <c r="S7" i="24"/>
  <c r="R7" i="24"/>
  <c r="Q7" i="24"/>
  <c r="X6" i="24"/>
  <c r="W6" i="24"/>
  <c r="V6" i="24"/>
  <c r="U6" i="24"/>
  <c r="T6" i="24"/>
  <c r="S6" i="24"/>
  <c r="R6" i="24"/>
  <c r="Q6" i="24"/>
  <c r="X5" i="24"/>
  <c r="W5" i="24"/>
  <c r="V5" i="24"/>
  <c r="U5" i="24"/>
  <c r="T5" i="24"/>
  <c r="S5" i="24"/>
  <c r="R5" i="24"/>
  <c r="Q5" i="24"/>
  <c r="X4" i="24"/>
  <c r="W4" i="24"/>
  <c r="V4" i="24"/>
  <c r="U4" i="24"/>
  <c r="T4" i="24"/>
  <c r="S4" i="24"/>
  <c r="R4" i="24"/>
  <c r="Q4" i="24"/>
  <c r="Y15" i="24"/>
  <c r="Y14" i="24"/>
  <c r="Y12" i="24"/>
  <c r="Y16" i="24"/>
  <c r="Z46" i="24"/>
  <c r="AD46" i="24"/>
  <c r="AA47" i="24"/>
  <c r="AE47" i="24"/>
  <c r="AF48" i="24"/>
  <c r="Y46" i="24"/>
  <c r="M41" i="24"/>
  <c r="AC17" i="24"/>
  <c r="AF17" i="24"/>
  <c r="Y17" i="24"/>
  <c r="Y13" i="24"/>
  <c r="Y11" i="24"/>
  <c r="AF16" i="24"/>
  <c r="AD17" i="24"/>
  <c r="Z17" i="24"/>
  <c r="AC16" i="24"/>
  <c r="AB16" i="24"/>
  <c r="AD15" i="24"/>
  <c r="AC15" i="24"/>
  <c r="AB15" i="24"/>
  <c r="AF14" i="24"/>
  <c r="AD14" i="24"/>
  <c r="AC14" i="24"/>
  <c r="AB14" i="24"/>
  <c r="AF13" i="24"/>
  <c r="AC13" i="24"/>
  <c r="AC12" i="24"/>
  <c r="AC11" i="24"/>
  <c r="Z11" i="22"/>
  <c r="AA11" i="22"/>
  <c r="AB11" i="22"/>
  <c r="AC11" i="22"/>
  <c r="AD11" i="22"/>
  <c r="AE11" i="22"/>
  <c r="AF11" i="22"/>
  <c r="Z12" i="22"/>
  <c r="AA12" i="22"/>
  <c r="AB12" i="22"/>
  <c r="AC12" i="22"/>
  <c r="AD12" i="22"/>
  <c r="AE12" i="22"/>
  <c r="AF12" i="22"/>
  <c r="Z13" i="22"/>
  <c r="AA13" i="22"/>
  <c r="AB13" i="22"/>
  <c r="AC13" i="22"/>
  <c r="AD13" i="22"/>
  <c r="AE13" i="22"/>
  <c r="AF13" i="22"/>
  <c r="Z14" i="22"/>
  <c r="AA14" i="22"/>
  <c r="AB14" i="22"/>
  <c r="AC14" i="22"/>
  <c r="AD14" i="22"/>
  <c r="AE14" i="22"/>
  <c r="AF14" i="22"/>
  <c r="Z15" i="22"/>
  <c r="AA15" i="22"/>
  <c r="AB15" i="22"/>
  <c r="AC15" i="22"/>
  <c r="AD15" i="22"/>
  <c r="AE15" i="22"/>
  <c r="AF15" i="22"/>
  <c r="Z16" i="22"/>
  <c r="AA16" i="22"/>
  <c r="AB16" i="22"/>
  <c r="AC16" i="22"/>
  <c r="AD16" i="22"/>
  <c r="AE16" i="22"/>
  <c r="AF16" i="22"/>
  <c r="Z17" i="22"/>
  <c r="AA17" i="22"/>
  <c r="AB17" i="22"/>
  <c r="AC17" i="22"/>
  <c r="AD17" i="22"/>
  <c r="AE17" i="22"/>
  <c r="AF17" i="22"/>
  <c r="Y12" i="22"/>
  <c r="Y13" i="22"/>
  <c r="Y14" i="22"/>
  <c r="Y15" i="22"/>
  <c r="Y16" i="22"/>
  <c r="Y17" i="22"/>
  <c r="Y11" i="22"/>
  <c r="E46" i="24"/>
  <c r="D12" i="24"/>
  <c r="K11" i="24"/>
  <c r="L11" i="24"/>
  <c r="M11" i="24"/>
  <c r="AF70" i="24"/>
  <c r="AE70" i="24"/>
  <c r="AD70" i="24"/>
  <c r="AC70" i="24"/>
  <c r="AB70" i="24"/>
  <c r="AA70" i="24"/>
  <c r="Z70" i="24"/>
  <c r="Y70" i="24"/>
  <c r="L63" i="24"/>
  <c r="K63" i="24"/>
  <c r="AF69" i="24"/>
  <c r="AE69" i="24"/>
  <c r="AD69" i="24"/>
  <c r="AC69" i="24"/>
  <c r="AB69" i="24"/>
  <c r="AA69" i="24"/>
  <c r="Z69" i="24"/>
  <c r="Y69" i="24"/>
  <c r="M62" i="24"/>
  <c r="L62" i="24"/>
  <c r="K62" i="24"/>
  <c r="AF68" i="24"/>
  <c r="AE68" i="24"/>
  <c r="AD68" i="24"/>
  <c r="AC68" i="24"/>
  <c r="AB68" i="24"/>
  <c r="AA68" i="24"/>
  <c r="Z68" i="24"/>
  <c r="Y68" i="24"/>
  <c r="M61" i="24"/>
  <c r="L61" i="24"/>
  <c r="K61" i="24"/>
  <c r="AF67" i="24"/>
  <c r="AE67" i="24"/>
  <c r="AD67" i="24"/>
  <c r="AC67" i="24"/>
  <c r="AB67" i="24"/>
  <c r="AA67" i="24"/>
  <c r="Z67" i="24"/>
  <c r="Y67" i="24"/>
  <c r="M60" i="24"/>
  <c r="L60" i="24"/>
  <c r="K60" i="24"/>
  <c r="AF66" i="24"/>
  <c r="AE66" i="24"/>
  <c r="AD66" i="24"/>
  <c r="AC66" i="24"/>
  <c r="AB66" i="24"/>
  <c r="AA66" i="24"/>
  <c r="Z66" i="24"/>
  <c r="Y66" i="24"/>
  <c r="M59" i="24"/>
  <c r="L59" i="24"/>
  <c r="K59" i="24"/>
  <c r="AF65" i="24"/>
  <c r="AE65" i="24"/>
  <c r="AD65" i="24"/>
  <c r="AC65" i="24"/>
  <c r="AB65" i="24"/>
  <c r="AA65" i="24"/>
  <c r="Z65" i="24"/>
  <c r="Y65" i="24"/>
  <c r="M58" i="24"/>
  <c r="L58" i="24"/>
  <c r="K58" i="24"/>
  <c r="AF64" i="24"/>
  <c r="AE64" i="24"/>
  <c r="AD64" i="24"/>
  <c r="AC64" i="24"/>
  <c r="AB64" i="24"/>
  <c r="AA64" i="24"/>
  <c r="Z64" i="24"/>
  <c r="Y64" i="24"/>
  <c r="M57" i="24"/>
  <c r="L57" i="24"/>
  <c r="K57" i="24"/>
  <c r="AF51" i="24"/>
  <c r="AE51" i="24"/>
  <c r="AD51" i="24"/>
  <c r="AB51" i="24"/>
  <c r="AA51" i="24"/>
  <c r="Z51" i="24"/>
  <c r="M44" i="24"/>
  <c r="L44" i="24"/>
  <c r="K44" i="24"/>
  <c r="AF50" i="24"/>
  <c r="AE50" i="24"/>
  <c r="AD50" i="24"/>
  <c r="AB50" i="24"/>
  <c r="AA50" i="24"/>
  <c r="Z50" i="24"/>
  <c r="M43" i="24"/>
  <c r="L43" i="24"/>
  <c r="K43" i="24"/>
  <c r="AF49" i="24"/>
  <c r="AE49" i="24"/>
  <c r="AD49" i="24"/>
  <c r="AB49" i="24"/>
  <c r="AA49" i="24"/>
  <c r="Z49" i="24"/>
  <c r="M42" i="24"/>
  <c r="L42" i="24"/>
  <c r="K42" i="24"/>
  <c r="AE48" i="24"/>
  <c r="AD48" i="24"/>
  <c r="AB48" i="24"/>
  <c r="AA48" i="24"/>
  <c r="Z48" i="24"/>
  <c r="L41" i="24"/>
  <c r="K41" i="24"/>
  <c r="AF47" i="24"/>
  <c r="AD47" i="24"/>
  <c r="AB47" i="24"/>
  <c r="Z47" i="24"/>
  <c r="M40" i="24"/>
  <c r="L40" i="24"/>
  <c r="K40" i="24"/>
  <c r="AF46" i="24"/>
  <c r="AE46" i="24"/>
  <c r="AC46" i="24"/>
  <c r="AB46" i="24"/>
  <c r="AA46" i="24"/>
  <c r="M39" i="24"/>
  <c r="L39" i="24"/>
  <c r="K39" i="24"/>
  <c r="AF45" i="24"/>
  <c r="AE45" i="24"/>
  <c r="AD45" i="24"/>
  <c r="AB45" i="24"/>
  <c r="AA45" i="24"/>
  <c r="Z45" i="24"/>
  <c r="Y45" i="24"/>
  <c r="M38" i="24"/>
  <c r="L38" i="24"/>
  <c r="K38" i="24"/>
  <c r="M10" i="24"/>
  <c r="L10" i="24"/>
  <c r="K10" i="24"/>
  <c r="M9" i="24"/>
  <c r="L9" i="24"/>
  <c r="K9" i="24"/>
  <c r="M8" i="24"/>
  <c r="L8" i="24"/>
  <c r="K8" i="24"/>
  <c r="M7" i="24"/>
  <c r="L7" i="24"/>
  <c r="K7" i="24"/>
  <c r="M6" i="24"/>
  <c r="L6" i="24"/>
  <c r="K6" i="24"/>
  <c r="M5" i="24"/>
  <c r="L5" i="24"/>
  <c r="K5" i="24"/>
  <c r="M4" i="24"/>
  <c r="L4" i="24"/>
  <c r="K4" i="24"/>
  <c r="O11" i="24" l="1"/>
  <c r="O57" i="24"/>
  <c r="O61" i="24"/>
  <c r="N60" i="24"/>
  <c r="O60" i="24"/>
  <c r="N59" i="24"/>
  <c r="O43" i="24"/>
  <c r="O39" i="24"/>
  <c r="N57" i="24"/>
  <c r="N58" i="24"/>
  <c r="O59" i="24"/>
  <c r="N62" i="24"/>
  <c r="O58" i="24"/>
  <c r="O6" i="24"/>
  <c r="N11" i="24"/>
  <c r="O10" i="24"/>
  <c r="O9" i="24"/>
  <c r="N8" i="24"/>
  <c r="O8" i="24"/>
  <c r="O7" i="24"/>
  <c r="N6" i="24"/>
  <c r="O4" i="24"/>
  <c r="N61" i="24"/>
  <c r="N63" i="24"/>
  <c r="O62" i="24"/>
  <c r="O63" i="24"/>
  <c r="N42" i="24"/>
  <c r="N44" i="24"/>
  <c r="O40" i="24"/>
  <c r="O44" i="24"/>
  <c r="N5" i="24"/>
  <c r="N10" i="24"/>
  <c r="N4" i="24"/>
  <c r="O5" i="24"/>
  <c r="N7" i="24"/>
  <c r="N9" i="24"/>
  <c r="O41" i="24"/>
  <c r="O38" i="24"/>
  <c r="N39" i="24"/>
  <c r="N41" i="24"/>
  <c r="N38" i="24"/>
  <c r="N40" i="24"/>
  <c r="O42" i="24"/>
  <c r="N43" i="24"/>
  <c r="Z112" i="21" l="1"/>
  <c r="AA112" i="21"/>
  <c r="AB112" i="21"/>
  <c r="AC112" i="21"/>
  <c r="AD112" i="21"/>
  <c r="AE112" i="21"/>
  <c r="AF112" i="21"/>
  <c r="Z113" i="21"/>
  <c r="AA113" i="21"/>
  <c r="AB113" i="21"/>
  <c r="AC113" i="21"/>
  <c r="AD113" i="21"/>
  <c r="AE113" i="21"/>
  <c r="AF113" i="21"/>
  <c r="Z114" i="21"/>
  <c r="AA114" i="21"/>
  <c r="AB114" i="21"/>
  <c r="AC114" i="21"/>
  <c r="AD114" i="21"/>
  <c r="AE114" i="21"/>
  <c r="AF114" i="21"/>
  <c r="Z115" i="21"/>
  <c r="AA115" i="21"/>
  <c r="AB115" i="21"/>
  <c r="AC115" i="21"/>
  <c r="AD115" i="21"/>
  <c r="AE115" i="21"/>
  <c r="AF115" i="21"/>
  <c r="Z116" i="21"/>
  <c r="AA116" i="21"/>
  <c r="AB116" i="21"/>
  <c r="AC116" i="21"/>
  <c r="AD116" i="21"/>
  <c r="AE116" i="21"/>
  <c r="AF116" i="21"/>
  <c r="Z117" i="21"/>
  <c r="AA117" i="21"/>
  <c r="AB117" i="21"/>
  <c r="AC117" i="21"/>
  <c r="AD117" i="21"/>
  <c r="AE117" i="21"/>
  <c r="AF117" i="21"/>
  <c r="Z118" i="21"/>
  <c r="AA118" i="21"/>
  <c r="AB118" i="21"/>
  <c r="AC118" i="21"/>
  <c r="AD118" i="21"/>
  <c r="AE118" i="21"/>
  <c r="AF118" i="21"/>
  <c r="Y113" i="21"/>
  <c r="Y114" i="21"/>
  <c r="Y115" i="21"/>
  <c r="Y116" i="21"/>
  <c r="Y117" i="21"/>
  <c r="Y118" i="21"/>
  <c r="Y112" i="21"/>
  <c r="Z105" i="21"/>
  <c r="AA105" i="21"/>
  <c r="AB105" i="21"/>
  <c r="AC105" i="21"/>
  <c r="AD105" i="21"/>
  <c r="AE105" i="21"/>
  <c r="AF105" i="21"/>
  <c r="Z106" i="21"/>
  <c r="AA106" i="21"/>
  <c r="AB106" i="21"/>
  <c r="AC106" i="21"/>
  <c r="AD106" i="21"/>
  <c r="AE106" i="21"/>
  <c r="AF106" i="21"/>
  <c r="Z107" i="21"/>
  <c r="AA107" i="21"/>
  <c r="AB107" i="21"/>
  <c r="AC107" i="21"/>
  <c r="AD107" i="21"/>
  <c r="AE107" i="21"/>
  <c r="AF107" i="21"/>
  <c r="Z108" i="21"/>
  <c r="AA108" i="21"/>
  <c r="AB108" i="21"/>
  <c r="AC108" i="21"/>
  <c r="AD108" i="21"/>
  <c r="AE108" i="21"/>
  <c r="AF108" i="21"/>
  <c r="Z109" i="21"/>
  <c r="AA109" i="21"/>
  <c r="AB109" i="21"/>
  <c r="AC109" i="21"/>
  <c r="AD109" i="21"/>
  <c r="AE109" i="21"/>
  <c r="AF109" i="21"/>
  <c r="Z110" i="21"/>
  <c r="AA110" i="21"/>
  <c r="AB110" i="21"/>
  <c r="AC110" i="21"/>
  <c r="AD110" i="21"/>
  <c r="AE110" i="21"/>
  <c r="AF110" i="21"/>
  <c r="Z111" i="21"/>
  <c r="AA111" i="21"/>
  <c r="AB111" i="21"/>
  <c r="AC111" i="21"/>
  <c r="AD111" i="21"/>
  <c r="AE111" i="21"/>
  <c r="AF111" i="21"/>
  <c r="Y111" i="21"/>
  <c r="Y110" i="21"/>
  <c r="Y109" i="21"/>
  <c r="Y108" i="21"/>
  <c r="Y107" i="21"/>
  <c r="Y106" i="21"/>
  <c r="Y105" i="21"/>
  <c r="M111" i="21"/>
  <c r="L111" i="21"/>
  <c r="K111" i="21"/>
  <c r="M110" i="21"/>
  <c r="L110" i="21"/>
  <c r="K110" i="21"/>
  <c r="N110" i="21" s="1"/>
  <c r="M109" i="21"/>
  <c r="O109" i="21" s="1"/>
  <c r="L109" i="21"/>
  <c r="K109" i="21"/>
  <c r="M108" i="21"/>
  <c r="L108" i="21"/>
  <c r="O108" i="21" s="1"/>
  <c r="K108" i="21"/>
  <c r="M107" i="21"/>
  <c r="L107" i="21"/>
  <c r="O107" i="21" s="1"/>
  <c r="K107" i="21"/>
  <c r="N107" i="21" s="1"/>
  <c r="M106" i="21"/>
  <c r="L106" i="21"/>
  <c r="O106" i="21" s="1"/>
  <c r="K106" i="21"/>
  <c r="N106" i="21" s="1"/>
  <c r="M105" i="21"/>
  <c r="L105" i="21"/>
  <c r="O105" i="21" s="1"/>
  <c r="K105" i="21"/>
  <c r="N105" i="21" s="1"/>
  <c r="N108" i="21" l="1"/>
  <c r="O110" i="21"/>
  <c r="O111" i="21"/>
  <c r="N109" i="21"/>
  <c r="N111" i="21"/>
  <c r="AF21" i="23" l="1"/>
  <c r="AE21" i="23"/>
  <c r="AD21" i="23"/>
  <c r="AC21" i="23"/>
  <c r="AB21" i="23"/>
  <c r="AA21" i="23"/>
  <c r="Z21" i="23"/>
  <c r="Y21" i="23"/>
  <c r="M21" i="23"/>
  <c r="L21" i="23"/>
  <c r="K21" i="23"/>
  <c r="AF20" i="23"/>
  <c r="AE20" i="23"/>
  <c r="AD20" i="23"/>
  <c r="AC20" i="23"/>
  <c r="AB20" i="23"/>
  <c r="AA20" i="23"/>
  <c r="Z20" i="23"/>
  <c r="Y20" i="23"/>
  <c r="AG20" i="23" s="1"/>
  <c r="M20" i="23"/>
  <c r="L20" i="23"/>
  <c r="K20" i="23"/>
  <c r="AF19" i="23"/>
  <c r="AE19" i="23"/>
  <c r="AD19" i="23"/>
  <c r="AC19" i="23"/>
  <c r="AB19" i="23"/>
  <c r="AA19" i="23"/>
  <c r="Z19" i="23"/>
  <c r="Y19" i="23"/>
  <c r="M19" i="23"/>
  <c r="L19" i="23"/>
  <c r="K19" i="23"/>
  <c r="AF18" i="23"/>
  <c r="AE18" i="23"/>
  <c r="AD18" i="23"/>
  <c r="AC18" i="23"/>
  <c r="AB18" i="23"/>
  <c r="AA18" i="23"/>
  <c r="Z18" i="23"/>
  <c r="Y18" i="23"/>
  <c r="M18" i="23"/>
  <c r="L18" i="23"/>
  <c r="K18" i="23"/>
  <c r="AF17" i="23"/>
  <c r="AE17" i="23"/>
  <c r="AD17" i="23"/>
  <c r="AC17" i="23"/>
  <c r="AB17" i="23"/>
  <c r="AA17" i="23"/>
  <c r="Z17" i="23"/>
  <c r="Y17" i="23"/>
  <c r="M17" i="23"/>
  <c r="L17" i="23"/>
  <c r="K17" i="23"/>
  <c r="AF16" i="23"/>
  <c r="AE16" i="23"/>
  <c r="AD16" i="23"/>
  <c r="AC16" i="23"/>
  <c r="AB16" i="23"/>
  <c r="AA16" i="23"/>
  <c r="Z16" i="23"/>
  <c r="Y16" i="23"/>
  <c r="AG16" i="23" s="1"/>
  <c r="M16" i="23"/>
  <c r="L16" i="23"/>
  <c r="K16" i="23"/>
  <c r="AF15" i="23"/>
  <c r="AE15" i="23"/>
  <c r="AD15" i="23"/>
  <c r="AC15" i="23"/>
  <c r="AB15" i="23"/>
  <c r="AA15" i="23"/>
  <c r="Z15" i="23"/>
  <c r="Y15" i="23"/>
  <c r="M15" i="23"/>
  <c r="L15" i="23"/>
  <c r="K15" i="23"/>
  <c r="AF10" i="23"/>
  <c r="AE10" i="23"/>
  <c r="AD10" i="23"/>
  <c r="AC10" i="23"/>
  <c r="AB10" i="23"/>
  <c r="AA10" i="23"/>
  <c r="Z10" i="23"/>
  <c r="Y10" i="23"/>
  <c r="AG10" i="23" s="1"/>
  <c r="M10" i="23"/>
  <c r="L10" i="23"/>
  <c r="K10" i="23"/>
  <c r="AF9" i="23"/>
  <c r="AE9" i="23"/>
  <c r="AD9" i="23"/>
  <c r="AC9" i="23"/>
  <c r="AB9" i="23"/>
  <c r="AA9" i="23"/>
  <c r="Z9" i="23"/>
  <c r="AG9" i="23" s="1"/>
  <c r="Y9" i="23"/>
  <c r="M9" i="23"/>
  <c r="L9" i="23"/>
  <c r="K9" i="23"/>
  <c r="AF8" i="23"/>
  <c r="AE8" i="23"/>
  <c r="AD8" i="23"/>
  <c r="AC8" i="23"/>
  <c r="AB8" i="23"/>
  <c r="AA8" i="23"/>
  <c r="Z8" i="23"/>
  <c r="Y8" i="23"/>
  <c r="AG8" i="23" s="1"/>
  <c r="M8" i="23"/>
  <c r="L8" i="23"/>
  <c r="K8" i="23"/>
  <c r="AF7" i="23"/>
  <c r="AE7" i="23"/>
  <c r="AD7" i="23"/>
  <c r="AC7" i="23"/>
  <c r="AB7" i="23"/>
  <c r="AA7" i="23"/>
  <c r="Z7" i="23"/>
  <c r="Y7" i="23"/>
  <c r="AG7" i="23" s="1"/>
  <c r="M7" i="23"/>
  <c r="L7" i="23"/>
  <c r="K7" i="23"/>
  <c r="AF6" i="23"/>
  <c r="AE6" i="23"/>
  <c r="AD6" i="23"/>
  <c r="AC6" i="23"/>
  <c r="AB6" i="23"/>
  <c r="AA6" i="23"/>
  <c r="Z6" i="23"/>
  <c r="Y6" i="23"/>
  <c r="AG6" i="23" s="1"/>
  <c r="M6" i="23"/>
  <c r="L6" i="23"/>
  <c r="K6" i="23"/>
  <c r="AF5" i="23"/>
  <c r="AE5" i="23"/>
  <c r="AD5" i="23"/>
  <c r="AC5" i="23"/>
  <c r="AB5" i="23"/>
  <c r="AA5" i="23"/>
  <c r="Z5" i="23"/>
  <c r="AG5" i="23" s="1"/>
  <c r="Y5" i="23"/>
  <c r="M5" i="23"/>
  <c r="L5" i="23"/>
  <c r="K5" i="23"/>
  <c r="AF4" i="23"/>
  <c r="AE4" i="23"/>
  <c r="AD4" i="23"/>
  <c r="AC4" i="23"/>
  <c r="AB4" i="23"/>
  <c r="AA4" i="23"/>
  <c r="Z4" i="23"/>
  <c r="Y4" i="23"/>
  <c r="AG4" i="23" s="1"/>
  <c r="M4" i="23"/>
  <c r="L4" i="23"/>
  <c r="K4" i="23"/>
  <c r="C12" i="15"/>
  <c r="D12" i="15"/>
  <c r="E12" i="15"/>
  <c r="F12" i="15"/>
  <c r="G12" i="15"/>
  <c r="H12" i="15"/>
  <c r="I12" i="15"/>
  <c r="J12" i="15"/>
  <c r="D11" i="15"/>
  <c r="E11" i="15"/>
  <c r="F11" i="15"/>
  <c r="G11" i="15"/>
  <c r="H11" i="15"/>
  <c r="I11" i="15"/>
  <c r="J11" i="15"/>
  <c r="C11" i="15"/>
  <c r="C82" i="2"/>
  <c r="B82" i="2"/>
  <c r="C81" i="2"/>
  <c r="B81" i="2"/>
  <c r="C80" i="2"/>
  <c r="B80" i="2"/>
  <c r="C79" i="2"/>
  <c r="B79" i="2"/>
  <c r="C78" i="2"/>
  <c r="B78" i="2"/>
  <c r="C77" i="2"/>
  <c r="B77" i="2"/>
  <c r="B56" i="2"/>
  <c r="C113" i="2"/>
  <c r="B113" i="2"/>
  <c r="C112" i="2"/>
  <c r="B112" i="2"/>
  <c r="C111" i="2"/>
  <c r="B111" i="2"/>
  <c r="D4" i="19"/>
  <c r="E4" i="19"/>
  <c r="F4" i="19"/>
  <c r="G4" i="19"/>
  <c r="H4" i="19"/>
  <c r="I4" i="19"/>
  <c r="J4" i="19"/>
  <c r="D5" i="19"/>
  <c r="E5" i="19"/>
  <c r="F5" i="19"/>
  <c r="G5" i="19"/>
  <c r="H5" i="19"/>
  <c r="I5" i="19"/>
  <c r="J5" i="19"/>
  <c r="D6" i="19"/>
  <c r="E6" i="19"/>
  <c r="F6" i="19"/>
  <c r="G6" i="19"/>
  <c r="H6" i="19"/>
  <c r="I6" i="19"/>
  <c r="J6" i="19"/>
  <c r="D7" i="19"/>
  <c r="E7" i="19"/>
  <c r="F7" i="19"/>
  <c r="G7" i="19"/>
  <c r="H7" i="19"/>
  <c r="I7" i="19"/>
  <c r="J7" i="19"/>
  <c r="D8" i="19"/>
  <c r="E8" i="19"/>
  <c r="F8" i="19"/>
  <c r="G8" i="19"/>
  <c r="H8" i="19"/>
  <c r="I8" i="19"/>
  <c r="J8" i="19"/>
  <c r="D9" i="19"/>
  <c r="E9" i="19"/>
  <c r="F9" i="19"/>
  <c r="G9" i="19"/>
  <c r="H9" i="19"/>
  <c r="I9" i="19"/>
  <c r="J9" i="19"/>
  <c r="D10" i="19"/>
  <c r="E10" i="19"/>
  <c r="F10" i="19"/>
  <c r="G10" i="19"/>
  <c r="H10" i="19"/>
  <c r="I10" i="19"/>
  <c r="J10" i="19"/>
  <c r="C5" i="19"/>
  <c r="C6" i="19"/>
  <c r="C7" i="19"/>
  <c r="C8" i="19"/>
  <c r="C9" i="19"/>
  <c r="C10" i="19"/>
  <c r="C4" i="19"/>
  <c r="B120" i="2"/>
  <c r="J21" i="19"/>
  <c r="X21" i="19" s="1"/>
  <c r="I21" i="19"/>
  <c r="W21" i="19" s="1"/>
  <c r="H21" i="19"/>
  <c r="V21" i="19" s="1"/>
  <c r="G21" i="19"/>
  <c r="U21" i="19" s="1"/>
  <c r="F21" i="19"/>
  <c r="T21" i="19" s="1"/>
  <c r="E21" i="19"/>
  <c r="S21" i="19" s="1"/>
  <c r="D21" i="19"/>
  <c r="R21" i="19" s="1"/>
  <c r="C21" i="19"/>
  <c r="M34" i="19"/>
  <c r="J39" i="19"/>
  <c r="I39" i="19"/>
  <c r="H39" i="19"/>
  <c r="G39" i="19"/>
  <c r="F39" i="19"/>
  <c r="E39" i="19"/>
  <c r="D39" i="19"/>
  <c r="C39" i="19"/>
  <c r="J38" i="19"/>
  <c r="I38" i="19"/>
  <c r="H38" i="19"/>
  <c r="G38" i="19"/>
  <c r="F38" i="19"/>
  <c r="E38" i="19"/>
  <c r="D38" i="19"/>
  <c r="C38" i="19"/>
  <c r="J37" i="19"/>
  <c r="I37" i="19"/>
  <c r="H37" i="19"/>
  <c r="G37" i="19"/>
  <c r="F37" i="19"/>
  <c r="E37" i="19"/>
  <c r="D37" i="19"/>
  <c r="C37" i="19"/>
  <c r="M35" i="19"/>
  <c r="O35" i="19" s="1"/>
  <c r="L35" i="19"/>
  <c r="K35" i="19"/>
  <c r="K34" i="19"/>
  <c r="N34" i="19" s="1"/>
  <c r="M33" i="19"/>
  <c r="L33" i="19"/>
  <c r="K33" i="19"/>
  <c r="M32" i="19"/>
  <c r="L32" i="19"/>
  <c r="K32" i="19"/>
  <c r="M31" i="19"/>
  <c r="L31" i="19"/>
  <c r="K31" i="19"/>
  <c r="M30" i="19"/>
  <c r="L30" i="19"/>
  <c r="K30" i="19"/>
  <c r="M29" i="19"/>
  <c r="O29" i="19" s="1"/>
  <c r="L29" i="19"/>
  <c r="K29" i="19"/>
  <c r="M28" i="19"/>
  <c r="L28" i="19"/>
  <c r="K28" i="19"/>
  <c r="Q21" i="19" l="1"/>
  <c r="L21" i="19"/>
  <c r="K21" i="19"/>
  <c r="K14" i="19" s="1"/>
  <c r="K16" i="19" s="1"/>
  <c r="Z30" i="21"/>
  <c r="AD30" i="21"/>
  <c r="Y30" i="21"/>
  <c r="AC13" i="21"/>
  <c r="Y13" i="21"/>
  <c r="AB13" i="21"/>
  <c r="AA30" i="21"/>
  <c r="AE30" i="21"/>
  <c r="AD13" i="21"/>
  <c r="AC30" i="21"/>
  <c r="AF13" i="21"/>
  <c r="AB30" i="21"/>
  <c r="AF30" i="21"/>
  <c r="AA13" i="21"/>
  <c r="AE13" i="21"/>
  <c r="Z13" i="21"/>
  <c r="Z34" i="21"/>
  <c r="AD34" i="21"/>
  <c r="Y34" i="21"/>
  <c r="AC17" i="21"/>
  <c r="Y17" i="21"/>
  <c r="AC34" i="21"/>
  <c r="AA34" i="21"/>
  <c r="AE34" i="21"/>
  <c r="AD17" i="21"/>
  <c r="AB17" i="21"/>
  <c r="AF17" i="21"/>
  <c r="AB34" i="21"/>
  <c r="AF34" i="21"/>
  <c r="AA17" i="21"/>
  <c r="AE17" i="21"/>
  <c r="Z17" i="21"/>
  <c r="AA31" i="21"/>
  <c r="AE31" i="21"/>
  <c r="AA14" i="21"/>
  <c r="AE14" i="21"/>
  <c r="Z31" i="21"/>
  <c r="AD14" i="21"/>
  <c r="Z14" i="21"/>
  <c r="AB31" i="21"/>
  <c r="AF31" i="21"/>
  <c r="Y31" i="21"/>
  <c r="AB14" i="21"/>
  <c r="AF14" i="21"/>
  <c r="Y14" i="21"/>
  <c r="AD31" i="21"/>
  <c r="AC31" i="21"/>
  <c r="AC14" i="21"/>
  <c r="AB28" i="21"/>
  <c r="AF28" i="21"/>
  <c r="AC11" i="21"/>
  <c r="Z11" i="21"/>
  <c r="AE28" i="21"/>
  <c r="AF11" i="21"/>
  <c r="AC28" i="21"/>
  <c r="Y28" i="21"/>
  <c r="AD11" i="21"/>
  <c r="Y11" i="21"/>
  <c r="AA28" i="21"/>
  <c r="AB11" i="21"/>
  <c r="Z28" i="21"/>
  <c r="AD28" i="21"/>
  <c r="AA11" i="21"/>
  <c r="AE11" i="21"/>
  <c r="AC29" i="21"/>
  <c r="AA12" i="21"/>
  <c r="AE12" i="21"/>
  <c r="AF29" i="21"/>
  <c r="Y12" i="21"/>
  <c r="Z29" i="21"/>
  <c r="AD29" i="21"/>
  <c r="AB12" i="21"/>
  <c r="AF12" i="21"/>
  <c r="Z12" i="21"/>
  <c r="AB29" i="21"/>
  <c r="Y29" i="21"/>
  <c r="AD12" i="21"/>
  <c r="AA29" i="21"/>
  <c r="AE29" i="21"/>
  <c r="AC12" i="21"/>
  <c r="AB32" i="21"/>
  <c r="AF32" i="21"/>
  <c r="AC15" i="21"/>
  <c r="Z15" i="21"/>
  <c r="AA32" i="21"/>
  <c r="AC32" i="21"/>
  <c r="AD15" i="21"/>
  <c r="AE32" i="21"/>
  <c r="AB15" i="21"/>
  <c r="Z32" i="21"/>
  <c r="AD32" i="21"/>
  <c r="Y32" i="21"/>
  <c r="AA15" i="21"/>
  <c r="AE15" i="21"/>
  <c r="Y15" i="21"/>
  <c r="AF15" i="21"/>
  <c r="AC33" i="21"/>
  <c r="AA16" i="21"/>
  <c r="AE16" i="21"/>
  <c r="AB33" i="21"/>
  <c r="Y33" i="21"/>
  <c r="AD16" i="21"/>
  <c r="Z33" i="21"/>
  <c r="AD33" i="21"/>
  <c r="AB16" i="21"/>
  <c r="AF16" i="21"/>
  <c r="Z16" i="21"/>
  <c r="AF33" i="21"/>
  <c r="Y16" i="21"/>
  <c r="AA33" i="21"/>
  <c r="AE33" i="21"/>
  <c r="AC16" i="21"/>
  <c r="AG15" i="23"/>
  <c r="AG19" i="23"/>
  <c r="AG18" i="23"/>
  <c r="AG17" i="23"/>
  <c r="AG21" i="23"/>
  <c r="O9" i="23"/>
  <c r="O16" i="23"/>
  <c r="O20" i="23"/>
  <c r="N19" i="23"/>
  <c r="O17" i="23"/>
  <c r="O15" i="23"/>
  <c r="O19" i="23"/>
  <c r="N20" i="23"/>
  <c r="O18" i="23"/>
  <c r="N15" i="23"/>
  <c r="N16" i="23"/>
  <c r="N18" i="23"/>
  <c r="N21" i="23"/>
  <c r="N17" i="23"/>
  <c r="O21" i="23"/>
  <c r="O4" i="23"/>
  <c r="N7" i="23"/>
  <c r="N9" i="23"/>
  <c r="O7" i="23"/>
  <c r="O5" i="23"/>
  <c r="O10" i="23"/>
  <c r="N5" i="23"/>
  <c r="O6" i="23"/>
  <c r="N8" i="23"/>
  <c r="N10" i="23"/>
  <c r="N4" i="23"/>
  <c r="N6" i="23"/>
  <c r="O8" i="23"/>
  <c r="N35" i="19"/>
  <c r="L37" i="19"/>
  <c r="O33" i="19"/>
  <c r="Y21" i="19"/>
  <c r="Z21" i="19" s="1"/>
  <c r="O31" i="19"/>
  <c r="K37" i="19"/>
  <c r="N28" i="19"/>
  <c r="L34" i="19"/>
  <c r="O34" i="19" s="1"/>
  <c r="N33" i="19"/>
  <c r="N30" i="19"/>
  <c r="N32" i="19"/>
  <c r="O30" i="19"/>
  <c r="N29" i="19"/>
  <c r="N31" i="19"/>
  <c r="O32" i="19"/>
  <c r="O28" i="19"/>
  <c r="M37" i="19"/>
  <c r="AA21" i="19" l="1"/>
  <c r="AC21" i="19" s="1"/>
  <c r="M16" i="19"/>
  <c r="O37" i="19"/>
  <c r="N37" i="19"/>
  <c r="M21" i="19" l="1"/>
  <c r="N21" i="19" s="1"/>
  <c r="L15" i="19"/>
  <c r="L16" i="19" s="1"/>
  <c r="O16" i="19" s="1"/>
  <c r="AB21" i="19"/>
  <c r="B140" i="2"/>
  <c r="C140" i="2"/>
  <c r="N16" i="19"/>
  <c r="O21" i="19" l="1"/>
  <c r="C141" i="2"/>
  <c r="B141" i="2"/>
  <c r="B142" i="2"/>
  <c r="C142" i="2"/>
  <c r="M5" i="19" l="1"/>
  <c r="M6" i="19"/>
  <c r="M7" i="19"/>
  <c r="M8" i="19"/>
  <c r="M9" i="19"/>
  <c r="M10" i="19"/>
  <c r="M4" i="19"/>
  <c r="Z47" i="22"/>
  <c r="AA47" i="22"/>
  <c r="AB47" i="22"/>
  <c r="AC47" i="22"/>
  <c r="AD47" i="22"/>
  <c r="AE47" i="22"/>
  <c r="AF47" i="22"/>
  <c r="Z48" i="22"/>
  <c r="AA48" i="22"/>
  <c r="AB48" i="22"/>
  <c r="AC48" i="22"/>
  <c r="AD48" i="22"/>
  <c r="AE48" i="22"/>
  <c r="AF48" i="22"/>
  <c r="Z49" i="22"/>
  <c r="AA49" i="22"/>
  <c r="AB49" i="22"/>
  <c r="AC49" i="22"/>
  <c r="AD49" i="22"/>
  <c r="AE49" i="22"/>
  <c r="AF49" i="22"/>
  <c r="Z50" i="22"/>
  <c r="AA50" i="22"/>
  <c r="AB50" i="22"/>
  <c r="AC50" i="22"/>
  <c r="AD50" i="22"/>
  <c r="AE50" i="22"/>
  <c r="AF50" i="22"/>
  <c r="Z51" i="22"/>
  <c r="AA51" i="22"/>
  <c r="AB51" i="22"/>
  <c r="AC51" i="22"/>
  <c r="AD51" i="22"/>
  <c r="AE51" i="22"/>
  <c r="AF51" i="22"/>
  <c r="Z52" i="22"/>
  <c r="AA52" i="22"/>
  <c r="AB52" i="22"/>
  <c r="AC52" i="22"/>
  <c r="AD52" i="22"/>
  <c r="AE52" i="22"/>
  <c r="AF52" i="22"/>
  <c r="Z53" i="22"/>
  <c r="AA53" i="22"/>
  <c r="AB53" i="22"/>
  <c r="AC53" i="22"/>
  <c r="AD53" i="22"/>
  <c r="AE53" i="22"/>
  <c r="AF53" i="22"/>
  <c r="Y48" i="22"/>
  <c r="Y49" i="22"/>
  <c r="Y50" i="22"/>
  <c r="Y51" i="22"/>
  <c r="Y52" i="22"/>
  <c r="Y53" i="22"/>
  <c r="Y47" i="22"/>
  <c r="Z40" i="22"/>
  <c r="AA40" i="22"/>
  <c r="AB40" i="22"/>
  <c r="AC40" i="22"/>
  <c r="AD40" i="22"/>
  <c r="AE40" i="22"/>
  <c r="AF40" i="22"/>
  <c r="Z41" i="22"/>
  <c r="AA41" i="22"/>
  <c r="AB41" i="22"/>
  <c r="AC41" i="22"/>
  <c r="AD41" i="22"/>
  <c r="AE41" i="22"/>
  <c r="AF41" i="22"/>
  <c r="Z42" i="22"/>
  <c r="AA42" i="22"/>
  <c r="AB42" i="22"/>
  <c r="AC42" i="22"/>
  <c r="AD42" i="22"/>
  <c r="AE42" i="22"/>
  <c r="AF42" i="22"/>
  <c r="Z43" i="22"/>
  <c r="AA43" i="22"/>
  <c r="AB43" i="22"/>
  <c r="AC43" i="22"/>
  <c r="AD43" i="22"/>
  <c r="AE43" i="22"/>
  <c r="AF43" i="22"/>
  <c r="Z44" i="22"/>
  <c r="AA44" i="22"/>
  <c r="AB44" i="22"/>
  <c r="AC44" i="22"/>
  <c r="AD44" i="22"/>
  <c r="AE44" i="22"/>
  <c r="AF44" i="22"/>
  <c r="Z45" i="22"/>
  <c r="AA45" i="22"/>
  <c r="AB45" i="22"/>
  <c r="AC45" i="22"/>
  <c r="AD45" i="22"/>
  <c r="AE45" i="22"/>
  <c r="AF45" i="22"/>
  <c r="Z46" i="22"/>
  <c r="AA46" i="22"/>
  <c r="AB46" i="22"/>
  <c r="AC46" i="22"/>
  <c r="AD46" i="22"/>
  <c r="AE46" i="22"/>
  <c r="AF46" i="22"/>
  <c r="Y46" i="22"/>
  <c r="Y45" i="22"/>
  <c r="Y44" i="22"/>
  <c r="Y43" i="22"/>
  <c r="Y42" i="22"/>
  <c r="Y41" i="22"/>
  <c r="Y40" i="22"/>
  <c r="M46" i="22"/>
  <c r="L46" i="22"/>
  <c r="K46" i="22"/>
  <c r="M45" i="22"/>
  <c r="L45" i="22"/>
  <c r="K45" i="22"/>
  <c r="M44" i="22"/>
  <c r="L44" i="22"/>
  <c r="K44" i="22"/>
  <c r="M43" i="22"/>
  <c r="L43" i="22"/>
  <c r="K43" i="22"/>
  <c r="M42" i="22"/>
  <c r="L42" i="22"/>
  <c r="K42" i="22"/>
  <c r="M41" i="22"/>
  <c r="L41" i="22"/>
  <c r="K41" i="22"/>
  <c r="M40" i="22"/>
  <c r="L40" i="22"/>
  <c r="K40" i="22"/>
  <c r="Z21" i="22"/>
  <c r="AA21" i="22"/>
  <c r="AB21" i="22"/>
  <c r="AC21" i="22"/>
  <c r="AD21" i="22"/>
  <c r="AE21" i="22"/>
  <c r="AF21" i="22"/>
  <c r="Z22" i="22"/>
  <c r="AA22" i="22"/>
  <c r="AB22" i="22"/>
  <c r="AC22" i="22"/>
  <c r="AD22" i="22"/>
  <c r="AE22" i="22"/>
  <c r="AF22" i="22"/>
  <c r="Z23" i="22"/>
  <c r="AA23" i="22"/>
  <c r="AB23" i="22"/>
  <c r="AC23" i="22"/>
  <c r="AD23" i="22"/>
  <c r="AE23" i="22"/>
  <c r="AF23" i="22"/>
  <c r="Z24" i="22"/>
  <c r="AA24" i="22"/>
  <c r="AB24" i="22"/>
  <c r="AC24" i="22"/>
  <c r="AD24" i="22"/>
  <c r="AE24" i="22"/>
  <c r="AF24" i="22"/>
  <c r="Z25" i="22"/>
  <c r="AA25" i="22"/>
  <c r="AB25" i="22"/>
  <c r="AC25" i="22"/>
  <c r="AD25" i="22"/>
  <c r="AE25" i="22"/>
  <c r="AF25" i="22"/>
  <c r="Z26" i="22"/>
  <c r="AA26" i="22"/>
  <c r="AB26" i="22"/>
  <c r="AC26" i="22"/>
  <c r="AD26" i="22"/>
  <c r="AE26" i="22"/>
  <c r="AF26" i="22"/>
  <c r="Z27" i="22"/>
  <c r="AA27" i="22"/>
  <c r="AB27" i="22"/>
  <c r="AC27" i="22"/>
  <c r="AD27" i="22"/>
  <c r="AE27" i="22"/>
  <c r="AF27" i="22"/>
  <c r="Y27" i="22"/>
  <c r="Y26" i="22"/>
  <c r="Y25" i="22"/>
  <c r="Y24" i="22"/>
  <c r="Y23" i="22"/>
  <c r="Y22" i="22"/>
  <c r="Y21" i="22"/>
  <c r="AP11" i="22"/>
  <c r="Z4" i="22"/>
  <c r="AA4" i="22"/>
  <c r="AR11" i="22" s="1"/>
  <c r="AB4" i="22"/>
  <c r="AC4" i="22"/>
  <c r="AT11" i="22" s="1"/>
  <c r="AD4" i="22"/>
  <c r="AE4" i="22"/>
  <c r="AV11" i="22" s="1"/>
  <c r="AF4" i="22"/>
  <c r="Z5" i="22"/>
  <c r="AQ12" i="22" s="1"/>
  <c r="AA5" i="22"/>
  <c r="AB5" i="22"/>
  <c r="AS12" i="22" s="1"/>
  <c r="AC5" i="22"/>
  <c r="AD5" i="22"/>
  <c r="AU12" i="22" s="1"/>
  <c r="AE5" i="22"/>
  <c r="AF5" i="22"/>
  <c r="AW12" i="22" s="1"/>
  <c r="Z6" i="22"/>
  <c r="AA6" i="22"/>
  <c r="AR13" i="22" s="1"/>
  <c r="AB6" i="22"/>
  <c r="AC6" i="22"/>
  <c r="AT13" i="22" s="1"/>
  <c r="AD6" i="22"/>
  <c r="AE6" i="22"/>
  <c r="AV13" i="22" s="1"/>
  <c r="AF6" i="22"/>
  <c r="Z7" i="22"/>
  <c r="AQ14" i="22" s="1"/>
  <c r="AA7" i="22"/>
  <c r="AB7" i="22"/>
  <c r="AS14" i="22" s="1"/>
  <c r="AC7" i="22"/>
  <c r="AD7" i="22"/>
  <c r="AU14" i="22" s="1"/>
  <c r="AE7" i="22"/>
  <c r="AF7" i="22"/>
  <c r="AW14" i="22" s="1"/>
  <c r="Z8" i="22"/>
  <c r="AA8" i="22"/>
  <c r="AR15" i="22" s="1"/>
  <c r="AB8" i="22"/>
  <c r="AC8" i="22"/>
  <c r="AT15" i="22" s="1"/>
  <c r="AD8" i="22"/>
  <c r="AE8" i="22"/>
  <c r="AV15" i="22" s="1"/>
  <c r="AF8" i="22"/>
  <c r="Z9" i="22"/>
  <c r="AQ16" i="22" s="1"/>
  <c r="AA9" i="22"/>
  <c r="AB9" i="22"/>
  <c r="AS16" i="22" s="1"/>
  <c r="AC9" i="22"/>
  <c r="AD9" i="22"/>
  <c r="AU16" i="22" s="1"/>
  <c r="AE9" i="22"/>
  <c r="AF9" i="22"/>
  <c r="AW16" i="22" s="1"/>
  <c r="Z10" i="22"/>
  <c r="AA10" i="22"/>
  <c r="AR17" i="22" s="1"/>
  <c r="AB10" i="22"/>
  <c r="AC10" i="22"/>
  <c r="AT17" i="22" s="1"/>
  <c r="AD10" i="22"/>
  <c r="AE10" i="22"/>
  <c r="AV17" i="22" s="1"/>
  <c r="AF10" i="22"/>
  <c r="Y10" i="22"/>
  <c r="Y9" i="22"/>
  <c r="Y8" i="22"/>
  <c r="Y7" i="22"/>
  <c r="Y6" i="22"/>
  <c r="Y5" i="22"/>
  <c r="Y4" i="22"/>
  <c r="Z21" i="21"/>
  <c r="AA21" i="21"/>
  <c r="AB21" i="21"/>
  <c r="AC21" i="21"/>
  <c r="AD21" i="21"/>
  <c r="AE21" i="21"/>
  <c r="AF21" i="21"/>
  <c r="Z22" i="21"/>
  <c r="AA22" i="21"/>
  <c r="AB22" i="21"/>
  <c r="AC22" i="21"/>
  <c r="AD22" i="21"/>
  <c r="AE22" i="21"/>
  <c r="AF22" i="21"/>
  <c r="Z23" i="21"/>
  <c r="AA23" i="21"/>
  <c r="AB23" i="21"/>
  <c r="AC23" i="21"/>
  <c r="AD23" i="21"/>
  <c r="AE23" i="21"/>
  <c r="AF23" i="21"/>
  <c r="Z24" i="21"/>
  <c r="AA24" i="21"/>
  <c r="AB24" i="21"/>
  <c r="AC24" i="21"/>
  <c r="AD24" i="21"/>
  <c r="AE24" i="21"/>
  <c r="AF24" i="21"/>
  <c r="Z25" i="21"/>
  <c r="AA25" i="21"/>
  <c r="AB25" i="21"/>
  <c r="AC25" i="21"/>
  <c r="AD25" i="21"/>
  <c r="AE25" i="21"/>
  <c r="AF25" i="21"/>
  <c r="Z26" i="21"/>
  <c r="AA26" i="21"/>
  <c r="AB26" i="21"/>
  <c r="AC26" i="21"/>
  <c r="AD26" i="21"/>
  <c r="AE26" i="21"/>
  <c r="AF26" i="21"/>
  <c r="Z27" i="21"/>
  <c r="AA27" i="21"/>
  <c r="AB27" i="21"/>
  <c r="AC27" i="21"/>
  <c r="AD27" i="21"/>
  <c r="AE27" i="21"/>
  <c r="AF27" i="21"/>
  <c r="Y27" i="21"/>
  <c r="Y26" i="21"/>
  <c r="Y25" i="21"/>
  <c r="Y24" i="21"/>
  <c r="Y23" i="21"/>
  <c r="Y22" i="21"/>
  <c r="Y21" i="21"/>
  <c r="Z4" i="21"/>
  <c r="AA4" i="21"/>
  <c r="AB4" i="21"/>
  <c r="AC4" i="21"/>
  <c r="AD4" i="21"/>
  <c r="AE4" i="21"/>
  <c r="AF4" i="21"/>
  <c r="Z5" i="21"/>
  <c r="AA5" i="21"/>
  <c r="AB5" i="21"/>
  <c r="AC5" i="21"/>
  <c r="AD5" i="21"/>
  <c r="AE5" i="21"/>
  <c r="AF5" i="21"/>
  <c r="Z6" i="21"/>
  <c r="AA6" i="21"/>
  <c r="AB6" i="21"/>
  <c r="AC6" i="21"/>
  <c r="AD6" i="21"/>
  <c r="AE6" i="21"/>
  <c r="AF6" i="21"/>
  <c r="Z7" i="21"/>
  <c r="AA7" i="21"/>
  <c r="AB7" i="21"/>
  <c r="AC7" i="21"/>
  <c r="AD7" i="21"/>
  <c r="AE7" i="21"/>
  <c r="AF7" i="21"/>
  <c r="Z8" i="21"/>
  <c r="AA8" i="21"/>
  <c r="AB8" i="21"/>
  <c r="AC8" i="21"/>
  <c r="AD8" i="21"/>
  <c r="AE8" i="21"/>
  <c r="AF8" i="21"/>
  <c r="Z9" i="21"/>
  <c r="AA9" i="21"/>
  <c r="AB9" i="21"/>
  <c r="AC9" i="21"/>
  <c r="AD9" i="21"/>
  <c r="AE9" i="21"/>
  <c r="AF9" i="21"/>
  <c r="Z10" i="21"/>
  <c r="AA10" i="21"/>
  <c r="AB10" i="21"/>
  <c r="AC10" i="21"/>
  <c r="AD10" i="21"/>
  <c r="AE10" i="21"/>
  <c r="AF10" i="21"/>
  <c r="Y10" i="21"/>
  <c r="Y9" i="21"/>
  <c r="Y8" i="21"/>
  <c r="Y7" i="21"/>
  <c r="Y6" i="21"/>
  <c r="Y5" i="21"/>
  <c r="Y4" i="21"/>
  <c r="AF34" i="22"/>
  <c r="AE34" i="22"/>
  <c r="AD34" i="22"/>
  <c r="AC34" i="22"/>
  <c r="AB34" i="22"/>
  <c r="AA34" i="22"/>
  <c r="Z34" i="22"/>
  <c r="Y34" i="22"/>
  <c r="M27" i="22"/>
  <c r="L27" i="22"/>
  <c r="K27" i="22"/>
  <c r="AF33" i="22"/>
  <c r="AE33" i="22"/>
  <c r="AD33" i="22"/>
  <c r="AC33" i="22"/>
  <c r="AB33" i="22"/>
  <c r="AA33" i="22"/>
  <c r="Z33" i="22"/>
  <c r="Y33" i="22"/>
  <c r="M26" i="22"/>
  <c r="L26" i="22"/>
  <c r="K26" i="22"/>
  <c r="AF32" i="22"/>
  <c r="AE32" i="22"/>
  <c r="AD32" i="22"/>
  <c r="AC32" i="22"/>
  <c r="AB32" i="22"/>
  <c r="AA32" i="22"/>
  <c r="Z32" i="22"/>
  <c r="Y32" i="22"/>
  <c r="M25" i="22"/>
  <c r="L25" i="22"/>
  <c r="K25" i="22"/>
  <c r="AF31" i="22"/>
  <c r="AE31" i="22"/>
  <c r="AD31" i="22"/>
  <c r="AC31" i="22"/>
  <c r="AB31" i="22"/>
  <c r="AA31" i="22"/>
  <c r="Z31" i="22"/>
  <c r="Y31" i="22"/>
  <c r="M24" i="22"/>
  <c r="L24" i="22"/>
  <c r="K24" i="22"/>
  <c r="AF30" i="22"/>
  <c r="AE30" i="22"/>
  <c r="AD30" i="22"/>
  <c r="AC30" i="22"/>
  <c r="AB30" i="22"/>
  <c r="AA30" i="22"/>
  <c r="Z30" i="22"/>
  <c r="Y30" i="22"/>
  <c r="M23" i="22"/>
  <c r="L23" i="22"/>
  <c r="K23" i="22"/>
  <c r="AF29" i="22"/>
  <c r="AE29" i="22"/>
  <c r="AD29" i="22"/>
  <c r="AC29" i="22"/>
  <c r="AB29" i="22"/>
  <c r="AA29" i="22"/>
  <c r="Z29" i="22"/>
  <c r="Y29" i="22"/>
  <c r="M22" i="22"/>
  <c r="L22" i="22"/>
  <c r="K22" i="22"/>
  <c r="AF28" i="22"/>
  <c r="AE28" i="22"/>
  <c r="AD28" i="22"/>
  <c r="AC28" i="22"/>
  <c r="AB28" i="22"/>
  <c r="AA28" i="22"/>
  <c r="Z28" i="22"/>
  <c r="Y28" i="22"/>
  <c r="M21" i="22"/>
  <c r="L21" i="22"/>
  <c r="K21" i="22"/>
  <c r="AW17" i="22"/>
  <c r="AU17" i="22"/>
  <c r="AS17" i="22"/>
  <c r="AQ17" i="22"/>
  <c r="AP17" i="22"/>
  <c r="M10" i="22"/>
  <c r="L10" i="22"/>
  <c r="K10" i="22"/>
  <c r="AV16" i="22"/>
  <c r="AT16" i="22"/>
  <c r="AR16" i="22"/>
  <c r="AP16" i="22"/>
  <c r="M9" i="22"/>
  <c r="L9" i="22"/>
  <c r="O9" i="22" s="1"/>
  <c r="K9" i="22"/>
  <c r="AW15" i="22"/>
  <c r="AU15" i="22"/>
  <c r="AS15" i="22"/>
  <c r="AQ15" i="22"/>
  <c r="AP15" i="22"/>
  <c r="M8" i="22"/>
  <c r="L8" i="22"/>
  <c r="O8" i="22" s="1"/>
  <c r="K8" i="22"/>
  <c r="AV14" i="22"/>
  <c r="AT14" i="22"/>
  <c r="AR14" i="22"/>
  <c r="AP14" i="22"/>
  <c r="M7" i="22"/>
  <c r="L7" i="22"/>
  <c r="O7" i="22" s="1"/>
  <c r="K7" i="22"/>
  <c r="N7" i="22" s="1"/>
  <c r="AW13" i="22"/>
  <c r="AU13" i="22"/>
  <c r="AS13" i="22"/>
  <c r="AQ13" i="22"/>
  <c r="AP13" i="22"/>
  <c r="M6" i="22"/>
  <c r="L6" i="22"/>
  <c r="O6" i="22" s="1"/>
  <c r="K6" i="22"/>
  <c r="N6" i="22" s="1"/>
  <c r="AV12" i="22"/>
  <c r="AT12" i="22"/>
  <c r="AR12" i="22"/>
  <c r="AP12" i="22"/>
  <c r="M5" i="22"/>
  <c r="L5" i="22"/>
  <c r="K5" i="22"/>
  <c r="AW11" i="22"/>
  <c r="AU11" i="22"/>
  <c r="AS11" i="22"/>
  <c r="AQ11" i="22"/>
  <c r="M4" i="22"/>
  <c r="N4" i="22" s="1"/>
  <c r="L4" i="22"/>
  <c r="K4" i="22"/>
  <c r="M27" i="21"/>
  <c r="L27" i="21"/>
  <c r="K27" i="21"/>
  <c r="N26" i="21"/>
  <c r="M26" i="21"/>
  <c r="L26" i="21"/>
  <c r="O26" i="21" s="1"/>
  <c r="K26" i="21"/>
  <c r="M25" i="21"/>
  <c r="L25" i="21"/>
  <c r="O25" i="21" s="1"/>
  <c r="K25" i="21"/>
  <c r="M24" i="21"/>
  <c r="L24" i="21"/>
  <c r="K24" i="21"/>
  <c r="M23" i="21"/>
  <c r="L23" i="21"/>
  <c r="O23" i="21" s="1"/>
  <c r="K23" i="21"/>
  <c r="N23" i="21" s="1"/>
  <c r="N22" i="21"/>
  <c r="M22" i="21"/>
  <c r="L22" i="21"/>
  <c r="O22" i="21" s="1"/>
  <c r="K22" i="21"/>
  <c r="M21" i="21"/>
  <c r="O21" i="21" s="1"/>
  <c r="L21" i="21"/>
  <c r="K21" i="21"/>
  <c r="N21" i="21" s="1"/>
  <c r="M10" i="21"/>
  <c r="L10" i="21"/>
  <c r="K10" i="21"/>
  <c r="N10" i="21" s="1"/>
  <c r="M9" i="21"/>
  <c r="L9" i="21"/>
  <c r="K9" i="21"/>
  <c r="N8" i="21"/>
  <c r="M8" i="21"/>
  <c r="L8" i="21"/>
  <c r="O8" i="21" s="1"/>
  <c r="K8" i="21"/>
  <c r="M7" i="21"/>
  <c r="O7" i="21" s="1"/>
  <c r="L7" i="21"/>
  <c r="K7" i="21"/>
  <c r="M6" i="21"/>
  <c r="L6" i="21"/>
  <c r="K6" i="21"/>
  <c r="N6" i="21" s="1"/>
  <c r="M5" i="21"/>
  <c r="L5" i="21"/>
  <c r="K5" i="21"/>
  <c r="N5" i="21" s="1"/>
  <c r="N4" i="21"/>
  <c r="M4" i="21"/>
  <c r="L4" i="21"/>
  <c r="O4" i="21" s="1"/>
  <c r="K4" i="21"/>
  <c r="AF97" i="18"/>
  <c r="AE97" i="18"/>
  <c r="AD97" i="18"/>
  <c r="AC97" i="18"/>
  <c r="AB97" i="18"/>
  <c r="AA97" i="18"/>
  <c r="Z97" i="18"/>
  <c r="AF96" i="18"/>
  <c r="AE96" i="18"/>
  <c r="AD96" i="18"/>
  <c r="AC96" i="18"/>
  <c r="AB96" i="18"/>
  <c r="AA96" i="18"/>
  <c r="Z96" i="18"/>
  <c r="AF95" i="18"/>
  <c r="AE95" i="18"/>
  <c r="AD95" i="18"/>
  <c r="AC95" i="18"/>
  <c r="AB95" i="18"/>
  <c r="AA95" i="18"/>
  <c r="Z95" i="18"/>
  <c r="AF94" i="18"/>
  <c r="AE94" i="18"/>
  <c r="AD94" i="18"/>
  <c r="AC94" i="18"/>
  <c r="AB94" i="18"/>
  <c r="AA94" i="18"/>
  <c r="Z94" i="18"/>
  <c r="AF93" i="18"/>
  <c r="AE93" i="18"/>
  <c r="AD93" i="18"/>
  <c r="AC93" i="18"/>
  <c r="AB93" i="18"/>
  <c r="AA93" i="18"/>
  <c r="Z93" i="18"/>
  <c r="AF92" i="18"/>
  <c r="AE92" i="18"/>
  <c r="AD92" i="18"/>
  <c r="AC92" i="18"/>
  <c r="AB92" i="18"/>
  <c r="AA92" i="18"/>
  <c r="Z92" i="18"/>
  <c r="AF91" i="18"/>
  <c r="AE91" i="18"/>
  <c r="AD91" i="18"/>
  <c r="AC91" i="18"/>
  <c r="AB91" i="18"/>
  <c r="AA91" i="18"/>
  <c r="Z91" i="18"/>
  <c r="Z84" i="18"/>
  <c r="AA84" i="18"/>
  <c r="AB84" i="18"/>
  <c r="AC84" i="18"/>
  <c r="AD84" i="18"/>
  <c r="AE84" i="18"/>
  <c r="AF84" i="18"/>
  <c r="Z85" i="18"/>
  <c r="AA85" i="18"/>
  <c r="AB85" i="18"/>
  <c r="AC85" i="18"/>
  <c r="AD85" i="18"/>
  <c r="AE85" i="18"/>
  <c r="AF85" i="18"/>
  <c r="Z86" i="18"/>
  <c r="AA86" i="18"/>
  <c r="AB86" i="18"/>
  <c r="AC86" i="18"/>
  <c r="AD86" i="18"/>
  <c r="AE86" i="18"/>
  <c r="AF86" i="18"/>
  <c r="Z87" i="18"/>
  <c r="AA87" i="18"/>
  <c r="AB87" i="18"/>
  <c r="AC87" i="18"/>
  <c r="AD87" i="18"/>
  <c r="AE87" i="18"/>
  <c r="AF87" i="18"/>
  <c r="Z88" i="18"/>
  <c r="AA88" i="18"/>
  <c r="AB88" i="18"/>
  <c r="AC88" i="18"/>
  <c r="AD88" i="18"/>
  <c r="AE88" i="18"/>
  <c r="AF88" i="18"/>
  <c r="Z89" i="18"/>
  <c r="AA89" i="18"/>
  <c r="AB89" i="18"/>
  <c r="AC89" i="18"/>
  <c r="AD89" i="18"/>
  <c r="AE89" i="18"/>
  <c r="AF89" i="18"/>
  <c r="Z90" i="18"/>
  <c r="AA90" i="18"/>
  <c r="AB90" i="18"/>
  <c r="AC90" i="18"/>
  <c r="AD90" i="18"/>
  <c r="AE90" i="18"/>
  <c r="AF90" i="18"/>
  <c r="Y90" i="18"/>
  <c r="Y89" i="18"/>
  <c r="Y88" i="18"/>
  <c r="Y87" i="18"/>
  <c r="Y86" i="18"/>
  <c r="Y85" i="18"/>
  <c r="Y84" i="18"/>
  <c r="M90" i="18"/>
  <c r="L90" i="18"/>
  <c r="K90" i="18"/>
  <c r="M89" i="18"/>
  <c r="L89" i="18"/>
  <c r="K89" i="18"/>
  <c r="M88" i="18"/>
  <c r="L88" i="18"/>
  <c r="K88" i="18"/>
  <c r="M87" i="18"/>
  <c r="L87" i="18"/>
  <c r="K87" i="18"/>
  <c r="M86" i="18"/>
  <c r="L86" i="18"/>
  <c r="K86" i="18"/>
  <c r="M85" i="18"/>
  <c r="L85" i="18"/>
  <c r="K85" i="18"/>
  <c r="M84" i="18"/>
  <c r="L84" i="18"/>
  <c r="K84" i="18"/>
  <c r="Z66" i="18"/>
  <c r="AA66" i="18"/>
  <c r="AB66" i="18"/>
  <c r="AC66" i="18"/>
  <c r="AD66" i="18"/>
  <c r="AE66" i="18"/>
  <c r="AF66" i="18"/>
  <c r="Z67" i="18"/>
  <c r="AA67" i="18"/>
  <c r="AB67" i="18"/>
  <c r="AC67" i="18"/>
  <c r="AD67" i="18"/>
  <c r="AE67" i="18"/>
  <c r="AF67" i="18"/>
  <c r="Z68" i="18"/>
  <c r="AA68" i="18"/>
  <c r="AB68" i="18"/>
  <c r="AC68" i="18"/>
  <c r="AD68" i="18"/>
  <c r="AE68" i="18"/>
  <c r="AF68" i="18"/>
  <c r="Z69" i="18"/>
  <c r="AA69" i="18"/>
  <c r="AB69" i="18"/>
  <c r="AC69" i="18"/>
  <c r="AD69" i="18"/>
  <c r="AE69" i="18"/>
  <c r="AF69" i="18"/>
  <c r="Z70" i="18"/>
  <c r="AA70" i="18"/>
  <c r="AB70" i="18"/>
  <c r="AC70" i="18"/>
  <c r="AD70" i="18"/>
  <c r="AE70" i="18"/>
  <c r="AF70" i="18"/>
  <c r="Z71" i="18"/>
  <c r="AA71" i="18"/>
  <c r="AB71" i="18"/>
  <c r="AC71" i="18"/>
  <c r="AD71" i="18"/>
  <c r="AE71" i="18"/>
  <c r="AF71" i="18"/>
  <c r="Z72" i="18"/>
  <c r="AA72" i="18"/>
  <c r="AB72" i="18"/>
  <c r="AC72" i="18"/>
  <c r="AD72" i="18"/>
  <c r="AE72" i="18"/>
  <c r="AF72" i="18"/>
  <c r="Y72" i="18"/>
  <c r="Y71" i="18"/>
  <c r="Y70" i="18"/>
  <c r="Y69" i="18"/>
  <c r="Y68" i="18"/>
  <c r="Y67" i="18"/>
  <c r="Y66" i="18"/>
  <c r="M72" i="18"/>
  <c r="L72" i="18"/>
  <c r="K72" i="18"/>
  <c r="M71" i="18"/>
  <c r="L71" i="18"/>
  <c r="K71" i="18"/>
  <c r="M70" i="18"/>
  <c r="L70" i="18"/>
  <c r="K70" i="18"/>
  <c r="M69" i="18"/>
  <c r="L69" i="18"/>
  <c r="K69" i="18"/>
  <c r="M68" i="18"/>
  <c r="L68" i="18"/>
  <c r="K68" i="18"/>
  <c r="M67" i="18"/>
  <c r="L67" i="18"/>
  <c r="K67" i="18"/>
  <c r="M66" i="18"/>
  <c r="L66" i="18"/>
  <c r="K66" i="18"/>
  <c r="Z52" i="18"/>
  <c r="AA52" i="18"/>
  <c r="AB52" i="18"/>
  <c r="AC52" i="18"/>
  <c r="AD52" i="18"/>
  <c r="AE52" i="18"/>
  <c r="AF52" i="18"/>
  <c r="Z53" i="18"/>
  <c r="AA53" i="18"/>
  <c r="AB53" i="18"/>
  <c r="AC53" i="18"/>
  <c r="AD53" i="18"/>
  <c r="AE53" i="18"/>
  <c r="AF53" i="18"/>
  <c r="Z54" i="18"/>
  <c r="AA54" i="18"/>
  <c r="AB54" i="18"/>
  <c r="AC54" i="18"/>
  <c r="AD54" i="18"/>
  <c r="AE54" i="18"/>
  <c r="AF54" i="18"/>
  <c r="Z55" i="18"/>
  <c r="AA55" i="18"/>
  <c r="AB55" i="18"/>
  <c r="AC55" i="18"/>
  <c r="AD55" i="18"/>
  <c r="AE55" i="18"/>
  <c r="AF55" i="18"/>
  <c r="Y55" i="18"/>
  <c r="Y54" i="18"/>
  <c r="Y53" i="18"/>
  <c r="Y52" i="18"/>
  <c r="Y51" i="18"/>
  <c r="Z50" i="18"/>
  <c r="AA50" i="18"/>
  <c r="AB50" i="18"/>
  <c r="AC50" i="18"/>
  <c r="AD50" i="18"/>
  <c r="AE50" i="18"/>
  <c r="AF50" i="18"/>
  <c r="Y50" i="18"/>
  <c r="Z49" i="18"/>
  <c r="AA49" i="18"/>
  <c r="AB49" i="18"/>
  <c r="AC49" i="18"/>
  <c r="AD49" i="18"/>
  <c r="AE49" i="18"/>
  <c r="AF49" i="18"/>
  <c r="Y49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AF51" i="18"/>
  <c r="AE51" i="18"/>
  <c r="AD51" i="18"/>
  <c r="AC51" i="18"/>
  <c r="AB51" i="18"/>
  <c r="AA51" i="18"/>
  <c r="Z51" i="18"/>
  <c r="M51" i="18"/>
  <c r="L51" i="18"/>
  <c r="K51" i="18"/>
  <c r="M50" i="18"/>
  <c r="L50" i="18"/>
  <c r="K50" i="18"/>
  <c r="M49" i="18"/>
  <c r="L49" i="18"/>
  <c r="K49" i="18"/>
  <c r="Z40" i="18"/>
  <c r="AA40" i="18"/>
  <c r="AB40" i="18"/>
  <c r="AC40" i="18"/>
  <c r="AD40" i="18"/>
  <c r="AE40" i="18"/>
  <c r="AF40" i="18"/>
  <c r="Y40" i="18"/>
  <c r="Z39" i="18"/>
  <c r="AA39" i="18"/>
  <c r="AB39" i="18"/>
  <c r="AC39" i="18"/>
  <c r="AD39" i="18"/>
  <c r="AE39" i="18"/>
  <c r="AF39" i="18"/>
  <c r="Y39" i="18"/>
  <c r="Z38" i="18"/>
  <c r="AA38" i="18"/>
  <c r="AB38" i="18"/>
  <c r="AC38" i="18"/>
  <c r="AD38" i="18"/>
  <c r="AE38" i="18"/>
  <c r="AF38" i="18"/>
  <c r="Y38" i="18"/>
  <c r="Z37" i="18"/>
  <c r="AA37" i="18"/>
  <c r="AB37" i="18"/>
  <c r="AC37" i="18"/>
  <c r="AD37" i="18"/>
  <c r="AE37" i="18"/>
  <c r="AF37" i="18"/>
  <c r="Y37" i="18"/>
  <c r="Z36" i="18"/>
  <c r="AA36" i="18"/>
  <c r="AB36" i="18"/>
  <c r="AC36" i="18"/>
  <c r="AD36" i="18"/>
  <c r="AE36" i="18"/>
  <c r="AF36" i="18"/>
  <c r="Y36" i="18"/>
  <c r="Z35" i="18"/>
  <c r="AA35" i="18"/>
  <c r="AB35" i="18"/>
  <c r="AC35" i="18"/>
  <c r="AD35" i="18"/>
  <c r="AE35" i="18"/>
  <c r="AF35" i="18"/>
  <c r="Y35" i="18"/>
  <c r="Z34" i="18"/>
  <c r="AA34" i="18"/>
  <c r="AB34" i="18"/>
  <c r="AC34" i="18"/>
  <c r="AD34" i="18"/>
  <c r="AE34" i="18"/>
  <c r="AF34" i="18"/>
  <c r="Y34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B139" i="2" l="1"/>
  <c r="C138" i="2"/>
  <c r="B138" i="2"/>
  <c r="O40" i="22"/>
  <c r="N42" i="22"/>
  <c r="N46" i="22"/>
  <c r="O45" i="22"/>
  <c r="N43" i="22"/>
  <c r="O43" i="22"/>
  <c r="O42" i="22"/>
  <c r="N40" i="22"/>
  <c r="N41" i="22"/>
  <c r="N45" i="22"/>
  <c r="N44" i="22"/>
  <c r="O44" i="22"/>
  <c r="O41" i="22"/>
  <c r="O46" i="22"/>
  <c r="N26" i="22"/>
  <c r="O22" i="22"/>
  <c r="N25" i="22"/>
  <c r="N22" i="22"/>
  <c r="N21" i="22"/>
  <c r="O27" i="22"/>
  <c r="O25" i="22"/>
  <c r="O21" i="22"/>
  <c r="N27" i="22"/>
  <c r="O26" i="22"/>
  <c r="N24" i="22"/>
  <c r="O24" i="22"/>
  <c r="O23" i="22"/>
  <c r="N23" i="22"/>
  <c r="N5" i="22"/>
  <c r="N8" i="22"/>
  <c r="N10" i="22"/>
  <c r="O5" i="22"/>
  <c r="N9" i="22"/>
  <c r="O10" i="22"/>
  <c r="O4" i="22"/>
  <c r="O5" i="21"/>
  <c r="N9" i="21"/>
  <c r="O10" i="21"/>
  <c r="N25" i="21"/>
  <c r="N27" i="21"/>
  <c r="N7" i="21"/>
  <c r="N24" i="21"/>
  <c r="O6" i="21"/>
  <c r="O9" i="21"/>
  <c r="O24" i="21"/>
  <c r="O27" i="21"/>
  <c r="AG34" i="18"/>
  <c r="AF73" i="18" s="1"/>
  <c r="AG35" i="18"/>
  <c r="Y74" i="18" s="1"/>
  <c r="AG36" i="18"/>
  <c r="AG37" i="18"/>
  <c r="AA76" i="18" s="1"/>
  <c r="AG38" i="18"/>
  <c r="AA77" i="18" s="1"/>
  <c r="AG39" i="18"/>
  <c r="AC78" i="18" s="1"/>
  <c r="AG40" i="18"/>
  <c r="AC79" i="18" s="1"/>
  <c r="Y57" i="18"/>
  <c r="AF61" i="18"/>
  <c r="AA60" i="18"/>
  <c r="Y91" i="18"/>
  <c r="Y95" i="18"/>
  <c r="Z58" i="18"/>
  <c r="AD58" i="18"/>
  <c r="AF56" i="18"/>
  <c r="AB56" i="18"/>
  <c r="AF57" i="18"/>
  <c r="AB57" i="18"/>
  <c r="Y59" i="18"/>
  <c r="AF62" i="18"/>
  <c r="AB62" i="18"/>
  <c r="AE61" i="18"/>
  <c r="AA61" i="18"/>
  <c r="AD60" i="18"/>
  <c r="Z60" i="18"/>
  <c r="AC59" i="18"/>
  <c r="Y92" i="18"/>
  <c r="Y96" i="18"/>
  <c r="Y56" i="18"/>
  <c r="Y58" i="18"/>
  <c r="AE60" i="18"/>
  <c r="Z59" i="18"/>
  <c r="AA58" i="18"/>
  <c r="AE58" i="18"/>
  <c r="AE56" i="18"/>
  <c r="AA56" i="18"/>
  <c r="AE57" i="18"/>
  <c r="AA57" i="18"/>
  <c r="Y60" i="18"/>
  <c r="AE62" i="18"/>
  <c r="AA62" i="18"/>
  <c r="AD61" i="18"/>
  <c r="Z61" i="18"/>
  <c r="AC60" i="18"/>
  <c r="AF59" i="18"/>
  <c r="AB59" i="18"/>
  <c r="Y73" i="18"/>
  <c r="Y93" i="18"/>
  <c r="Y97" i="18"/>
  <c r="AC58" i="18"/>
  <c r="AC56" i="18"/>
  <c r="AC57" i="18"/>
  <c r="AC62" i="18"/>
  <c r="AB61" i="18"/>
  <c r="AD59" i="18"/>
  <c r="AB58" i="18"/>
  <c r="AF58" i="18"/>
  <c r="AD56" i="18"/>
  <c r="Z56" i="18"/>
  <c r="AD57" i="18"/>
  <c r="Z57" i="18"/>
  <c r="Y61" i="18"/>
  <c r="AD62" i="18"/>
  <c r="Z62" i="18"/>
  <c r="AC61" i="18"/>
  <c r="AF60" i="18"/>
  <c r="AB60" i="18"/>
  <c r="AE59" i="18"/>
  <c r="AA59" i="18"/>
  <c r="Y94" i="18"/>
  <c r="N85" i="18"/>
  <c r="N90" i="18"/>
  <c r="O88" i="18"/>
  <c r="O90" i="18"/>
  <c r="N89" i="18"/>
  <c r="N87" i="18"/>
  <c r="O87" i="18"/>
  <c r="O86" i="18"/>
  <c r="O89" i="18"/>
  <c r="N86" i="18"/>
  <c r="O85" i="18"/>
  <c r="O84" i="18"/>
  <c r="N84" i="18"/>
  <c r="N88" i="18"/>
  <c r="N67" i="18"/>
  <c r="N69" i="18"/>
  <c r="O71" i="18"/>
  <c r="O70" i="18"/>
  <c r="N72" i="18"/>
  <c r="N70" i="18"/>
  <c r="O69" i="18"/>
  <c r="N68" i="18"/>
  <c r="O66" i="18"/>
  <c r="N66" i="18"/>
  <c r="O72" i="18"/>
  <c r="O68" i="18"/>
  <c r="O67" i="18"/>
  <c r="N71" i="18"/>
  <c r="O53" i="18"/>
  <c r="N50" i="18"/>
  <c r="N55" i="18"/>
  <c r="O55" i="18"/>
  <c r="N52" i="18"/>
  <c r="O49" i="18"/>
  <c r="O54" i="18"/>
  <c r="O52" i="18"/>
  <c r="O51" i="18"/>
  <c r="N54" i="18"/>
  <c r="N51" i="18"/>
  <c r="O50" i="18"/>
  <c r="N49" i="18"/>
  <c r="N53" i="18"/>
  <c r="N35" i="18"/>
  <c r="N36" i="18"/>
  <c r="O34" i="18"/>
  <c r="O40" i="18"/>
  <c r="N39" i="18"/>
  <c r="O38" i="18"/>
  <c r="O39" i="18"/>
  <c r="O35" i="18"/>
  <c r="N40" i="18"/>
  <c r="N38" i="18"/>
  <c r="N37" i="18"/>
  <c r="O37" i="18"/>
  <c r="O36" i="18"/>
  <c r="N34" i="18"/>
  <c r="AA75" i="18" l="1"/>
  <c r="AC77" i="18"/>
  <c r="AE79" i="18"/>
  <c r="AA74" i="18"/>
  <c r="AC76" i="18"/>
  <c r="AE78" i="18"/>
  <c r="AA73" i="18"/>
  <c r="AC75" i="18"/>
  <c r="AE77" i="18"/>
  <c r="Y79" i="18"/>
  <c r="AC74" i="18"/>
  <c r="AE76" i="18"/>
  <c r="Z79" i="18"/>
  <c r="AC73" i="18"/>
  <c r="AE75" i="18"/>
  <c r="Z78" i="18"/>
  <c r="Y77" i="18"/>
  <c r="AE74" i="18"/>
  <c r="Z77" i="18"/>
  <c r="AB79" i="18"/>
  <c r="AE73" i="18"/>
  <c r="Z76" i="18"/>
  <c r="AB78" i="18"/>
  <c r="Y75" i="18"/>
  <c r="Z75" i="18"/>
  <c r="AB77" i="18"/>
  <c r="AD79" i="18"/>
  <c r="Z74" i="18"/>
  <c r="AB76" i="18"/>
  <c r="AD78" i="18"/>
  <c r="Z73" i="18"/>
  <c r="AB75" i="18"/>
  <c r="AD77" i="18"/>
  <c r="AF79" i="18"/>
  <c r="AB74" i="18"/>
  <c r="AD76" i="18"/>
  <c r="AF78" i="18"/>
  <c r="AB73" i="18"/>
  <c r="AD75" i="18"/>
  <c r="AF77" i="18"/>
  <c r="Y78" i="18"/>
  <c r="Y62" i="18"/>
  <c r="AD74" i="18"/>
  <c r="AF76" i="18"/>
  <c r="AA79" i="18"/>
  <c r="AD73" i="18"/>
  <c r="AF75" i="18"/>
  <c r="AA78" i="18"/>
  <c r="Y76" i="18"/>
  <c r="AF74" i="18"/>
  <c r="O2" i="6" l="1"/>
  <c r="Q44" i="19" l="1"/>
  <c r="J15" i="19"/>
  <c r="I15" i="19"/>
  <c r="H15" i="19"/>
  <c r="G15" i="19"/>
  <c r="F15" i="19"/>
  <c r="E15" i="19"/>
  <c r="D15" i="19"/>
  <c r="C15" i="19"/>
  <c r="J14" i="19"/>
  <c r="I14" i="19"/>
  <c r="H14" i="19"/>
  <c r="G14" i="19"/>
  <c r="F14" i="19"/>
  <c r="E14" i="19"/>
  <c r="D14" i="19"/>
  <c r="C14" i="19"/>
  <c r="J13" i="19"/>
  <c r="I13" i="19"/>
  <c r="H13" i="19"/>
  <c r="G13" i="19"/>
  <c r="F13" i="19"/>
  <c r="E13" i="19"/>
  <c r="D13" i="19"/>
  <c r="C13" i="19"/>
  <c r="M11" i="19"/>
  <c r="O11" i="19" s="1"/>
  <c r="L11" i="19"/>
  <c r="K11" i="19"/>
  <c r="X10" i="19"/>
  <c r="W10" i="19"/>
  <c r="V10" i="19"/>
  <c r="U10" i="19"/>
  <c r="T10" i="19"/>
  <c r="S10" i="19"/>
  <c r="R10" i="19"/>
  <c r="Q10" i="19"/>
  <c r="L10" i="19"/>
  <c r="K10" i="19"/>
  <c r="X9" i="19"/>
  <c r="W9" i="19"/>
  <c r="V9" i="19"/>
  <c r="U9" i="19"/>
  <c r="T9" i="19"/>
  <c r="S9" i="19"/>
  <c r="R9" i="19"/>
  <c r="Q9" i="19"/>
  <c r="L9" i="19"/>
  <c r="K9" i="19"/>
  <c r="X8" i="19"/>
  <c r="W8" i="19"/>
  <c r="V8" i="19"/>
  <c r="U8" i="19"/>
  <c r="T8" i="19"/>
  <c r="S8" i="19"/>
  <c r="R8" i="19"/>
  <c r="Q8" i="19"/>
  <c r="L8" i="19"/>
  <c r="K8" i="19"/>
  <c r="X7" i="19"/>
  <c r="W7" i="19"/>
  <c r="V7" i="19"/>
  <c r="U7" i="19"/>
  <c r="T7" i="19"/>
  <c r="S7" i="19"/>
  <c r="R7" i="19"/>
  <c r="Q7" i="19"/>
  <c r="L7" i="19"/>
  <c r="K7" i="19"/>
  <c r="C139" i="2" s="1"/>
  <c r="X6" i="19"/>
  <c r="W6" i="19"/>
  <c r="V6" i="19"/>
  <c r="U6" i="19"/>
  <c r="T6" i="19"/>
  <c r="S6" i="19"/>
  <c r="R6" i="19"/>
  <c r="Q6" i="19"/>
  <c r="L6" i="19"/>
  <c r="K6" i="19"/>
  <c r="X5" i="19"/>
  <c r="W5" i="19"/>
  <c r="V5" i="19"/>
  <c r="U5" i="19"/>
  <c r="T5" i="19"/>
  <c r="S5" i="19"/>
  <c r="R5" i="19"/>
  <c r="Q5" i="19"/>
  <c r="L5" i="19"/>
  <c r="K5" i="19"/>
  <c r="X4" i="19"/>
  <c r="W4" i="19"/>
  <c r="V4" i="19"/>
  <c r="U4" i="19"/>
  <c r="T4" i="19"/>
  <c r="S4" i="19"/>
  <c r="R4" i="19"/>
  <c r="Q4" i="19"/>
  <c r="L4" i="19"/>
  <c r="K4" i="19"/>
  <c r="AA7" i="19" l="1"/>
  <c r="AA8" i="19"/>
  <c r="AA10" i="19"/>
  <c r="AA4" i="19"/>
  <c r="AA5" i="19"/>
  <c r="AA6" i="19"/>
  <c r="AA9" i="19"/>
  <c r="N11" i="19"/>
  <c r="O10" i="19"/>
  <c r="N5" i="19"/>
  <c r="N9" i="19"/>
  <c r="K13" i="19"/>
  <c r="C144" i="2" s="1"/>
  <c r="Z10" i="19"/>
  <c r="O8" i="19"/>
  <c r="N7" i="19"/>
  <c r="M13" i="19"/>
  <c r="N6" i="19"/>
  <c r="O4" i="19"/>
  <c r="Y6" i="19"/>
  <c r="Y10" i="19"/>
  <c r="N10" i="19"/>
  <c r="Z5" i="19"/>
  <c r="O6" i="19"/>
  <c r="O7" i="19"/>
  <c r="Y8" i="19"/>
  <c r="N4" i="19"/>
  <c r="Y7" i="19"/>
  <c r="N8" i="19"/>
  <c r="AA11" i="19"/>
  <c r="Z7" i="19"/>
  <c r="L13" i="19"/>
  <c r="Y9" i="19"/>
  <c r="Z4" i="19"/>
  <c r="O5" i="19"/>
  <c r="Y4" i="19"/>
  <c r="Z6" i="19"/>
  <c r="Z8" i="19"/>
  <c r="O9" i="19"/>
  <c r="Y5" i="19"/>
  <c r="Y11" i="19"/>
  <c r="Z9" i="19"/>
  <c r="Z11" i="19"/>
  <c r="M2" i="6"/>
  <c r="N2" i="6"/>
  <c r="C50" i="2" s="1"/>
  <c r="C49" i="2"/>
  <c r="B48" i="2"/>
  <c r="B46" i="2"/>
  <c r="C48" i="2"/>
  <c r="C46" i="2"/>
  <c r="B47" i="2"/>
  <c r="C47" i="2"/>
  <c r="N17" i="12"/>
  <c r="O17" i="12"/>
  <c r="M17" i="12"/>
  <c r="C146" i="2" l="1"/>
  <c r="B146" i="2"/>
  <c r="N13" i="19"/>
  <c r="C143" i="2"/>
  <c r="B145" i="2"/>
  <c r="C145" i="2"/>
  <c r="O13" i="19"/>
  <c r="AB7" i="19"/>
  <c r="AC10" i="19"/>
  <c r="AC9" i="19"/>
  <c r="AB6" i="19"/>
  <c r="AB11" i="19"/>
  <c r="AB4" i="19"/>
  <c r="AC11" i="19"/>
  <c r="AB8" i="19"/>
  <c r="AC7" i="19"/>
  <c r="AC5" i="19"/>
  <c r="AC4" i="19"/>
  <c r="AB5" i="19"/>
  <c r="AB9" i="19"/>
  <c r="AC6" i="19"/>
  <c r="AB10" i="19"/>
  <c r="AC8" i="19"/>
  <c r="AA160" i="18"/>
  <c r="AB160" i="18"/>
  <c r="AC160" i="18"/>
  <c r="AD160" i="18"/>
  <c r="AE160" i="18"/>
  <c r="AF160" i="18"/>
  <c r="AA161" i="18"/>
  <c r="AB161" i="18"/>
  <c r="AC161" i="18"/>
  <c r="AD161" i="18"/>
  <c r="AE161" i="18"/>
  <c r="AF161" i="18"/>
  <c r="AA162" i="18"/>
  <c r="AB162" i="18"/>
  <c r="AC162" i="18"/>
  <c r="AD162" i="18"/>
  <c r="AE162" i="18"/>
  <c r="AF162" i="18"/>
  <c r="AA163" i="18"/>
  <c r="AB163" i="18"/>
  <c r="AC163" i="18"/>
  <c r="AD163" i="18"/>
  <c r="AE163" i="18"/>
  <c r="AF163" i="18"/>
  <c r="AA164" i="18"/>
  <c r="AB164" i="18"/>
  <c r="AC164" i="18"/>
  <c r="AD164" i="18"/>
  <c r="AE164" i="18"/>
  <c r="AF164" i="18"/>
  <c r="AA165" i="18"/>
  <c r="AB165" i="18"/>
  <c r="AC165" i="18"/>
  <c r="AD165" i="18"/>
  <c r="AE165" i="18"/>
  <c r="AF165" i="18"/>
  <c r="AA166" i="18"/>
  <c r="AB166" i="18"/>
  <c r="AC166" i="18"/>
  <c r="AD166" i="18"/>
  <c r="AE166" i="18"/>
  <c r="AF166" i="18"/>
  <c r="AA145" i="18"/>
  <c r="AB145" i="18"/>
  <c r="AC145" i="18"/>
  <c r="AD145" i="18"/>
  <c r="AE145" i="18"/>
  <c r="AF145" i="18"/>
  <c r="AA146" i="18"/>
  <c r="AB146" i="18"/>
  <c r="AC146" i="18"/>
  <c r="AD146" i="18"/>
  <c r="AE146" i="18"/>
  <c r="AF146" i="18"/>
  <c r="AA147" i="18"/>
  <c r="AB147" i="18"/>
  <c r="AC147" i="18"/>
  <c r="AD147" i="18"/>
  <c r="AE147" i="18"/>
  <c r="AF147" i="18"/>
  <c r="AA148" i="18"/>
  <c r="AB148" i="18"/>
  <c r="AC148" i="18"/>
  <c r="AD148" i="18"/>
  <c r="AE148" i="18"/>
  <c r="AF148" i="18"/>
  <c r="AA149" i="18"/>
  <c r="AB149" i="18"/>
  <c r="AC149" i="18"/>
  <c r="AD149" i="18"/>
  <c r="AE149" i="18"/>
  <c r="AF149" i="18"/>
  <c r="AA150" i="18"/>
  <c r="AB150" i="18"/>
  <c r="AC150" i="18"/>
  <c r="AD150" i="18"/>
  <c r="AE150" i="18"/>
  <c r="AF150" i="18"/>
  <c r="AA151" i="18"/>
  <c r="AB151" i="18"/>
  <c r="AC151" i="18"/>
  <c r="AD151" i="18"/>
  <c r="AE151" i="18"/>
  <c r="AF151" i="18"/>
  <c r="AA130" i="18"/>
  <c r="AB130" i="18"/>
  <c r="AC130" i="18"/>
  <c r="AD130" i="18"/>
  <c r="AE130" i="18"/>
  <c r="AF130" i="18"/>
  <c r="AA131" i="18"/>
  <c r="AB131" i="18"/>
  <c r="AC131" i="18"/>
  <c r="AD131" i="18"/>
  <c r="AE131" i="18"/>
  <c r="AF131" i="18"/>
  <c r="AA132" i="18"/>
  <c r="AB132" i="18"/>
  <c r="AC132" i="18"/>
  <c r="AD132" i="18"/>
  <c r="AE132" i="18"/>
  <c r="AF132" i="18"/>
  <c r="AA133" i="18"/>
  <c r="AB133" i="18"/>
  <c r="AC133" i="18"/>
  <c r="AD133" i="18"/>
  <c r="AE133" i="18"/>
  <c r="AF133" i="18"/>
  <c r="AA134" i="18"/>
  <c r="AB134" i="18"/>
  <c r="AC134" i="18"/>
  <c r="AD134" i="18"/>
  <c r="AE134" i="18"/>
  <c r="AF134" i="18"/>
  <c r="AA135" i="18"/>
  <c r="AB135" i="18"/>
  <c r="AC135" i="18"/>
  <c r="AD135" i="18"/>
  <c r="AE135" i="18"/>
  <c r="AF135" i="18"/>
  <c r="AA136" i="18"/>
  <c r="AB136" i="18"/>
  <c r="AC136" i="18"/>
  <c r="AD136" i="18"/>
  <c r="AE136" i="18"/>
  <c r="AF136" i="18"/>
  <c r="D166" i="18"/>
  <c r="C166" i="18"/>
  <c r="D165" i="18"/>
  <c r="C165" i="18"/>
  <c r="M165" i="18" s="1"/>
  <c r="D164" i="18"/>
  <c r="C164" i="18"/>
  <c r="D163" i="18"/>
  <c r="C163" i="18"/>
  <c r="Y163" i="18" s="1"/>
  <c r="D162" i="18"/>
  <c r="C162" i="18"/>
  <c r="D161" i="18"/>
  <c r="C161" i="18"/>
  <c r="M161" i="18" s="1"/>
  <c r="D160" i="18"/>
  <c r="Z160" i="18" s="1"/>
  <c r="C160" i="18"/>
  <c r="Y166" i="18" s="1"/>
  <c r="D151" i="18"/>
  <c r="C151" i="18"/>
  <c r="K151" i="18" s="1"/>
  <c r="D150" i="18"/>
  <c r="L150" i="18" s="1"/>
  <c r="C150" i="18"/>
  <c r="D149" i="18"/>
  <c r="C149" i="18"/>
  <c r="D148" i="18"/>
  <c r="C148" i="18"/>
  <c r="D147" i="18"/>
  <c r="C147" i="18"/>
  <c r="D146" i="18"/>
  <c r="C146" i="18"/>
  <c r="M146" i="18" s="1"/>
  <c r="D145" i="18"/>
  <c r="Z145" i="18" s="1"/>
  <c r="C145" i="18"/>
  <c r="D136" i="18"/>
  <c r="D135" i="18"/>
  <c r="K135" i="18" s="1"/>
  <c r="D134" i="18"/>
  <c r="D133" i="18"/>
  <c r="D132" i="18"/>
  <c r="D131" i="18"/>
  <c r="D130" i="18"/>
  <c r="Z130" i="18" s="1"/>
  <c r="C136" i="18"/>
  <c r="K136" i="18" s="1"/>
  <c r="C135" i="18"/>
  <c r="C132" i="18"/>
  <c r="C134" i="18"/>
  <c r="M134" i="18" s="1"/>
  <c r="C133" i="18"/>
  <c r="M133" i="18" s="1"/>
  <c r="C131" i="18"/>
  <c r="M131" i="18" s="1"/>
  <c r="C130" i="18"/>
  <c r="M136" i="18"/>
  <c r="L136" i="18"/>
  <c r="L134" i="18"/>
  <c r="K134" i="18"/>
  <c r="L132" i="18"/>
  <c r="L130" i="18"/>
  <c r="B147" i="2" l="1"/>
  <c r="C147" i="2"/>
  <c r="Z133" i="18"/>
  <c r="Y145" i="18"/>
  <c r="K147" i="18"/>
  <c r="M149" i="18"/>
  <c r="Z164" i="18"/>
  <c r="Z149" i="18"/>
  <c r="K133" i="18"/>
  <c r="M130" i="18"/>
  <c r="Y132" i="18"/>
  <c r="Z131" i="18"/>
  <c r="M148" i="18"/>
  <c r="K149" i="18"/>
  <c r="Z161" i="18"/>
  <c r="Z163" i="18"/>
  <c r="K130" i="18"/>
  <c r="L133" i="18"/>
  <c r="Z134" i="18"/>
  <c r="Z146" i="18"/>
  <c r="M150" i="18"/>
  <c r="K162" i="18"/>
  <c r="K164" i="18"/>
  <c r="L165" i="18"/>
  <c r="K132" i="18"/>
  <c r="M135" i="18"/>
  <c r="N135" i="18" s="1"/>
  <c r="L148" i="18"/>
  <c r="Y130" i="18"/>
  <c r="Y134" i="18"/>
  <c r="Y146" i="18"/>
  <c r="Y150" i="18"/>
  <c r="Z136" i="18"/>
  <c r="Z132" i="18"/>
  <c r="Z150" i="18"/>
  <c r="Y160" i="18"/>
  <c r="Y164" i="18"/>
  <c r="Z165" i="18"/>
  <c r="K131" i="18"/>
  <c r="Y131" i="18"/>
  <c r="Y135" i="18"/>
  <c r="Y147" i="18"/>
  <c r="Y151" i="18"/>
  <c r="Z151" i="18"/>
  <c r="Z147" i="18"/>
  <c r="Y161" i="18"/>
  <c r="Y165" i="18"/>
  <c r="Z166" i="18"/>
  <c r="Z162" i="18"/>
  <c r="L131" i="18"/>
  <c r="L135" i="18"/>
  <c r="Y136" i="18"/>
  <c r="Y148" i="18"/>
  <c r="Z148" i="18"/>
  <c r="Y162" i="18"/>
  <c r="Y133" i="18"/>
  <c r="Y149" i="18"/>
  <c r="Z135" i="18"/>
  <c r="K166" i="18"/>
  <c r="O165" i="18"/>
  <c r="M164" i="18"/>
  <c r="N164" i="18" s="1"/>
  <c r="L163" i="18"/>
  <c r="M163" i="18"/>
  <c r="O163" i="18" s="1"/>
  <c r="L161" i="18"/>
  <c r="O161" i="18" s="1"/>
  <c r="K160" i="18"/>
  <c r="M160" i="18"/>
  <c r="K161" i="18"/>
  <c r="N161" i="18" s="1"/>
  <c r="L162" i="18"/>
  <c r="K165" i="18"/>
  <c r="N165" i="18" s="1"/>
  <c r="L166" i="18"/>
  <c r="M162" i="18"/>
  <c r="N162" i="18" s="1"/>
  <c r="M166" i="18"/>
  <c r="L160" i="18"/>
  <c r="K163" i="18"/>
  <c r="L164" i="18"/>
  <c r="O164" i="18" s="1"/>
  <c r="O150" i="18"/>
  <c r="N149" i="18"/>
  <c r="L146" i="18"/>
  <c r="O146" i="18" s="1"/>
  <c r="K145" i="18"/>
  <c r="O148" i="18"/>
  <c r="M145" i="18"/>
  <c r="K146" i="18"/>
  <c r="N146" i="18" s="1"/>
  <c r="L147" i="18"/>
  <c r="K150" i="18"/>
  <c r="N150" i="18" s="1"/>
  <c r="L151" i="18"/>
  <c r="M147" i="18"/>
  <c r="N147" i="18" s="1"/>
  <c r="M151" i="18"/>
  <c r="N151" i="18" s="1"/>
  <c r="L145" i="18"/>
  <c r="K148" i="18"/>
  <c r="N148" i="18" s="1"/>
  <c r="L149" i="18"/>
  <c r="O149" i="18" s="1"/>
  <c r="M132" i="18"/>
  <c r="N132" i="18" s="1"/>
  <c r="N136" i="18"/>
  <c r="O134" i="18"/>
  <c r="O133" i="18"/>
  <c r="O132" i="18"/>
  <c r="O130" i="18"/>
  <c r="N130" i="18"/>
  <c r="O131" i="18"/>
  <c r="N134" i="18"/>
  <c r="O136" i="18"/>
  <c r="N131" i="18"/>
  <c r="N133" i="18"/>
  <c r="O135" i="18"/>
  <c r="Z116" i="18"/>
  <c r="AA116" i="18"/>
  <c r="AB116" i="18"/>
  <c r="AC116" i="18"/>
  <c r="AD116" i="18"/>
  <c r="AE116" i="18"/>
  <c r="AF116" i="18"/>
  <c r="Z117" i="18"/>
  <c r="AA117" i="18"/>
  <c r="AB117" i="18"/>
  <c r="AC117" i="18"/>
  <c r="AD117" i="18"/>
  <c r="AE117" i="18"/>
  <c r="AF117" i="18"/>
  <c r="Z118" i="18"/>
  <c r="AA118" i="18"/>
  <c r="AB118" i="18"/>
  <c r="AC118" i="18"/>
  <c r="AD118" i="18"/>
  <c r="AE118" i="18"/>
  <c r="AF118" i="18"/>
  <c r="Z119" i="18"/>
  <c r="AA119" i="18"/>
  <c r="AB119" i="18"/>
  <c r="AC119" i="18"/>
  <c r="AD119" i="18"/>
  <c r="AE119" i="18"/>
  <c r="AF119" i="18"/>
  <c r="Z120" i="18"/>
  <c r="AA120" i="18"/>
  <c r="AB120" i="18"/>
  <c r="AC120" i="18"/>
  <c r="AD120" i="18"/>
  <c r="AE120" i="18"/>
  <c r="AF120" i="18"/>
  <c r="Z121" i="18"/>
  <c r="AA121" i="18"/>
  <c r="AB121" i="18"/>
  <c r="AC121" i="18"/>
  <c r="AD121" i="18"/>
  <c r="AE121" i="18"/>
  <c r="AF121" i="18"/>
  <c r="Z122" i="18"/>
  <c r="AA122" i="18"/>
  <c r="AB122" i="18"/>
  <c r="AC122" i="18"/>
  <c r="AD122" i="18"/>
  <c r="AE122" i="18"/>
  <c r="AF122" i="18"/>
  <c r="Y122" i="18"/>
  <c r="Y121" i="18"/>
  <c r="Y120" i="18"/>
  <c r="Y119" i="18"/>
  <c r="Y118" i="18"/>
  <c r="Y117" i="18"/>
  <c r="Y116" i="18"/>
  <c r="M122" i="18"/>
  <c r="L122" i="18"/>
  <c r="K122" i="18"/>
  <c r="M121" i="18"/>
  <c r="N121" i="18" s="1"/>
  <c r="L121" i="18"/>
  <c r="K121" i="18"/>
  <c r="M120" i="18"/>
  <c r="L120" i="18"/>
  <c r="K120" i="18"/>
  <c r="M119" i="18"/>
  <c r="L119" i="18"/>
  <c r="K119" i="18"/>
  <c r="M118" i="18"/>
  <c r="L118" i="18"/>
  <c r="K118" i="18"/>
  <c r="M117" i="18"/>
  <c r="N117" i="18" s="1"/>
  <c r="L117" i="18"/>
  <c r="K117" i="18"/>
  <c r="M116" i="18"/>
  <c r="L116" i="18"/>
  <c r="K116" i="18"/>
  <c r="L15" i="12"/>
  <c r="L16" i="12" s="1"/>
  <c r="K14" i="12"/>
  <c r="K16" i="12" s="1"/>
  <c r="D21" i="12"/>
  <c r="E21" i="12"/>
  <c r="F21" i="12"/>
  <c r="G21" i="12"/>
  <c r="H21" i="12"/>
  <c r="I21" i="12"/>
  <c r="J21" i="12"/>
  <c r="C21" i="12"/>
  <c r="X22" i="12"/>
  <c r="W22" i="12"/>
  <c r="V22" i="12"/>
  <c r="U22" i="12"/>
  <c r="T22" i="12"/>
  <c r="S22" i="12"/>
  <c r="R22" i="12"/>
  <c r="Q22" i="12"/>
  <c r="X21" i="12"/>
  <c r="W21" i="12"/>
  <c r="V21" i="12"/>
  <c r="U21" i="12"/>
  <c r="T21" i="12"/>
  <c r="S21" i="12"/>
  <c r="R21" i="12"/>
  <c r="Q21" i="12"/>
  <c r="Z100" i="18"/>
  <c r="AA100" i="18"/>
  <c r="AB100" i="18"/>
  <c r="AC100" i="18"/>
  <c r="AD100" i="18"/>
  <c r="AE100" i="18"/>
  <c r="AF100" i="18"/>
  <c r="Z101" i="18"/>
  <c r="AA101" i="18"/>
  <c r="AB101" i="18"/>
  <c r="AC101" i="18"/>
  <c r="AD101" i="18"/>
  <c r="AE101" i="18"/>
  <c r="AF101" i="18"/>
  <c r="Z102" i="18"/>
  <c r="AA102" i="18"/>
  <c r="AB102" i="18"/>
  <c r="AC102" i="18"/>
  <c r="AD102" i="18"/>
  <c r="AE102" i="18"/>
  <c r="AF102" i="18"/>
  <c r="Z103" i="18"/>
  <c r="AA103" i="18"/>
  <c r="AB103" i="18"/>
  <c r="AC103" i="18"/>
  <c r="AD103" i="18"/>
  <c r="AE103" i="18"/>
  <c r="AF103" i="18"/>
  <c r="Z104" i="18"/>
  <c r="AA104" i="18"/>
  <c r="AB104" i="18"/>
  <c r="AC104" i="18"/>
  <c r="AD104" i="18"/>
  <c r="AE104" i="18"/>
  <c r="AF104" i="18"/>
  <c r="Z105" i="18"/>
  <c r="AA105" i="18"/>
  <c r="AB105" i="18"/>
  <c r="AC105" i="18"/>
  <c r="AD105" i="18"/>
  <c r="AE105" i="18"/>
  <c r="AF105" i="18"/>
  <c r="Z106" i="18"/>
  <c r="AA106" i="18"/>
  <c r="AB106" i="18"/>
  <c r="AC106" i="18"/>
  <c r="AD106" i="18"/>
  <c r="AE106" i="18"/>
  <c r="AF106" i="18"/>
  <c r="Y106" i="18"/>
  <c r="Y105" i="18"/>
  <c r="Y104" i="18"/>
  <c r="Y103" i="18"/>
  <c r="Y102" i="18"/>
  <c r="Y101" i="18"/>
  <c r="Y100" i="18"/>
  <c r="M106" i="18"/>
  <c r="O106" i="18" s="1"/>
  <c r="L106" i="18"/>
  <c r="K106" i="18"/>
  <c r="M105" i="18"/>
  <c r="L105" i="18"/>
  <c r="K105" i="18"/>
  <c r="M104" i="18"/>
  <c r="L104" i="18"/>
  <c r="K104" i="18"/>
  <c r="M103" i="18"/>
  <c r="L103" i="18"/>
  <c r="K103" i="18"/>
  <c r="M102" i="18"/>
  <c r="L102" i="18"/>
  <c r="K102" i="18"/>
  <c r="M101" i="18"/>
  <c r="L101" i="18"/>
  <c r="K101" i="18"/>
  <c r="M100" i="18"/>
  <c r="L100" i="18"/>
  <c r="K100" i="18"/>
  <c r="N166" i="18" l="1"/>
  <c r="N145" i="18"/>
  <c r="O100" i="18"/>
  <c r="O120" i="18"/>
  <c r="N160" i="18"/>
  <c r="M16" i="12"/>
  <c r="O16" i="12" s="1"/>
  <c r="N163" i="18"/>
  <c r="O162" i="18"/>
  <c r="O160" i="18"/>
  <c r="O166" i="18"/>
  <c r="O145" i="18"/>
  <c r="O151" i="18"/>
  <c r="O147" i="18"/>
  <c r="N122" i="18"/>
  <c r="O122" i="18"/>
  <c r="O121" i="18"/>
  <c r="N120" i="18"/>
  <c r="O119" i="18"/>
  <c r="N119" i="18"/>
  <c r="O118" i="18"/>
  <c r="N118" i="18"/>
  <c r="O117" i="18"/>
  <c r="O116" i="18"/>
  <c r="N116" i="18"/>
  <c r="Y21" i="12"/>
  <c r="Z21" i="12" s="1"/>
  <c r="K21" i="12"/>
  <c r="N106" i="18"/>
  <c r="N105" i="18"/>
  <c r="O105" i="18"/>
  <c r="O104" i="18"/>
  <c r="N104" i="18"/>
  <c r="N103" i="18"/>
  <c r="O103" i="18"/>
  <c r="N102" i="18"/>
  <c r="O102" i="18"/>
  <c r="N101" i="18"/>
  <c r="O101" i="18"/>
  <c r="N100" i="18"/>
  <c r="Z19" i="18"/>
  <c r="AA19" i="18"/>
  <c r="AB19" i="18"/>
  <c r="AC19" i="18"/>
  <c r="AD19" i="18"/>
  <c r="AE19" i="18"/>
  <c r="AF19" i="18"/>
  <c r="Z20" i="18"/>
  <c r="AA20" i="18"/>
  <c r="AB20" i="18"/>
  <c r="AC20" i="18"/>
  <c r="AD20" i="18"/>
  <c r="AE20" i="18"/>
  <c r="AF20" i="18"/>
  <c r="Z21" i="18"/>
  <c r="AA21" i="18"/>
  <c r="AB21" i="18"/>
  <c r="AC21" i="18"/>
  <c r="AD21" i="18"/>
  <c r="AE21" i="18"/>
  <c r="AF21" i="18"/>
  <c r="Z22" i="18"/>
  <c r="AA22" i="18"/>
  <c r="AB22" i="18"/>
  <c r="AC22" i="18"/>
  <c r="AD22" i="18"/>
  <c r="AE22" i="18"/>
  <c r="AF22" i="18"/>
  <c r="Z23" i="18"/>
  <c r="AA23" i="18"/>
  <c r="AB23" i="18"/>
  <c r="AC23" i="18"/>
  <c r="AD23" i="18"/>
  <c r="AE23" i="18"/>
  <c r="AF23" i="18"/>
  <c r="Z24" i="18"/>
  <c r="AA24" i="18"/>
  <c r="AB24" i="18"/>
  <c r="AC24" i="18"/>
  <c r="AD24" i="18"/>
  <c r="AE24" i="18"/>
  <c r="AF24" i="18"/>
  <c r="Z25" i="18"/>
  <c r="AA25" i="18"/>
  <c r="AB25" i="18"/>
  <c r="AC25" i="18"/>
  <c r="AD25" i="18"/>
  <c r="AE25" i="18"/>
  <c r="AF25" i="18"/>
  <c r="Y25" i="18"/>
  <c r="Y24" i="18"/>
  <c r="Y23" i="18"/>
  <c r="Y22" i="18"/>
  <c r="Y21" i="18"/>
  <c r="Y20" i="18"/>
  <c r="Y19" i="18"/>
  <c r="M25" i="18"/>
  <c r="L25" i="18"/>
  <c r="K25" i="18"/>
  <c r="M24" i="18"/>
  <c r="N24" i="18" s="1"/>
  <c r="L24" i="18"/>
  <c r="K24" i="18"/>
  <c r="M23" i="18"/>
  <c r="L23" i="18"/>
  <c r="K23" i="18"/>
  <c r="M22" i="18"/>
  <c r="L22" i="18"/>
  <c r="K22" i="18"/>
  <c r="M21" i="18"/>
  <c r="L21" i="18"/>
  <c r="K21" i="18"/>
  <c r="M20" i="18"/>
  <c r="L20" i="18"/>
  <c r="K20" i="18"/>
  <c r="M19" i="18"/>
  <c r="L19" i="18"/>
  <c r="K19" i="18"/>
  <c r="Z4" i="18"/>
  <c r="AA4" i="18"/>
  <c r="AB4" i="18"/>
  <c r="AC4" i="18"/>
  <c r="AD4" i="18"/>
  <c r="AE4" i="18"/>
  <c r="AF4" i="18"/>
  <c r="Z5" i="18"/>
  <c r="AA5" i="18"/>
  <c r="AB5" i="18"/>
  <c r="AC5" i="18"/>
  <c r="AD5" i="18"/>
  <c r="AE5" i="18"/>
  <c r="AF5" i="18"/>
  <c r="Z6" i="18"/>
  <c r="AA6" i="18"/>
  <c r="AB6" i="18"/>
  <c r="AC6" i="18"/>
  <c r="AD6" i="18"/>
  <c r="AE6" i="18"/>
  <c r="AF6" i="18"/>
  <c r="Z7" i="18"/>
  <c r="AA7" i="18"/>
  <c r="AB7" i="18"/>
  <c r="AC7" i="18"/>
  <c r="AD7" i="18"/>
  <c r="AE7" i="18"/>
  <c r="AF7" i="18"/>
  <c r="Z8" i="18"/>
  <c r="AA8" i="18"/>
  <c r="AB8" i="18"/>
  <c r="AC8" i="18"/>
  <c r="AD8" i="18"/>
  <c r="AE8" i="18"/>
  <c r="AF8" i="18"/>
  <c r="Z9" i="18"/>
  <c r="AA9" i="18"/>
  <c r="AB9" i="18"/>
  <c r="AC9" i="18"/>
  <c r="AD9" i="18"/>
  <c r="AE9" i="18"/>
  <c r="AF9" i="18"/>
  <c r="Z10" i="18"/>
  <c r="AA10" i="18"/>
  <c r="AB10" i="18"/>
  <c r="AC10" i="18"/>
  <c r="AD10" i="18"/>
  <c r="AE10" i="18"/>
  <c r="AF10" i="18"/>
  <c r="Y10" i="18"/>
  <c r="Y9" i="18"/>
  <c r="Y8" i="18"/>
  <c r="Y7" i="18"/>
  <c r="Y6" i="18"/>
  <c r="Y5" i="18"/>
  <c r="Y4" i="18"/>
  <c r="M10" i="18"/>
  <c r="L10" i="18"/>
  <c r="K10" i="18"/>
  <c r="M9" i="18"/>
  <c r="L9" i="18"/>
  <c r="K9" i="18"/>
  <c r="M8" i="18"/>
  <c r="L8" i="18"/>
  <c r="K8" i="18"/>
  <c r="M7" i="18"/>
  <c r="L7" i="18"/>
  <c r="K7" i="18"/>
  <c r="M6" i="18"/>
  <c r="L6" i="18"/>
  <c r="K6" i="18"/>
  <c r="M5" i="18"/>
  <c r="L5" i="18"/>
  <c r="K5" i="18"/>
  <c r="M4" i="18"/>
  <c r="L4" i="18"/>
  <c r="K4" i="18"/>
  <c r="Q10" i="17"/>
  <c r="N6" i="17"/>
  <c r="N8" i="17"/>
  <c r="N7" i="17"/>
  <c r="X7" i="17"/>
  <c r="C73" i="2"/>
  <c r="B73" i="2"/>
  <c r="C72" i="2"/>
  <c r="B72" i="2"/>
  <c r="C71" i="2"/>
  <c r="B71" i="2"/>
  <c r="C61" i="2"/>
  <c r="B61" i="2"/>
  <c r="C60" i="2"/>
  <c r="B60" i="2"/>
  <c r="C59" i="2"/>
  <c r="B59" i="2"/>
  <c r="C58" i="2"/>
  <c r="B58" i="2"/>
  <c r="C57" i="2"/>
  <c r="B57" i="2"/>
  <c r="C56" i="2"/>
  <c r="M11" i="16"/>
  <c r="L11" i="16"/>
  <c r="K11" i="16"/>
  <c r="Q11" i="6"/>
  <c r="Q9" i="6"/>
  <c r="K2" i="9"/>
  <c r="K3" i="9"/>
  <c r="N16" i="12" l="1"/>
  <c r="AA21" i="12"/>
  <c r="AC21" i="12" s="1"/>
  <c r="L21" i="12"/>
  <c r="N25" i="18"/>
  <c r="O25" i="18"/>
  <c r="O24" i="18"/>
  <c r="N23" i="18"/>
  <c r="O23" i="18"/>
  <c r="N22" i="18"/>
  <c r="O22" i="18"/>
  <c r="N21" i="18"/>
  <c r="O21" i="18"/>
  <c r="O20" i="18"/>
  <c r="N19" i="18"/>
  <c r="O19" i="18"/>
  <c r="N20" i="18"/>
  <c r="N10" i="18"/>
  <c r="O10" i="18"/>
  <c r="O9" i="18"/>
  <c r="N9" i="18"/>
  <c r="N8" i="18"/>
  <c r="O8" i="18"/>
  <c r="O7" i="18"/>
  <c r="N7" i="18"/>
  <c r="O6" i="18"/>
  <c r="N6" i="18"/>
  <c r="N5" i="18"/>
  <c r="O5" i="18"/>
  <c r="N4" i="18"/>
  <c r="O4" i="18"/>
  <c r="W12" i="17"/>
  <c r="AB21" i="12" l="1"/>
  <c r="M21" i="12"/>
  <c r="N21" i="12" s="1"/>
  <c r="C125" i="2"/>
  <c r="B125" i="2"/>
  <c r="C124" i="2"/>
  <c r="B124" i="2"/>
  <c r="C123" i="2"/>
  <c r="B123" i="2"/>
  <c r="C117" i="2"/>
  <c r="B117" i="2"/>
  <c r="B116" i="2"/>
  <c r="C116" i="2"/>
  <c r="M7" i="9"/>
  <c r="L7" i="9"/>
  <c r="N3" i="6" s="1"/>
  <c r="K7" i="9"/>
  <c r="L8" i="9"/>
  <c r="K8" i="9"/>
  <c r="B27" i="2"/>
  <c r="E13" i="17"/>
  <c r="E11" i="17"/>
  <c r="E7" i="17"/>
  <c r="C27" i="2"/>
  <c r="T32" i="17"/>
  <c r="S32" i="17"/>
  <c r="R32" i="17"/>
  <c r="Q32" i="17"/>
  <c r="P32" i="17"/>
  <c r="O32" i="17"/>
  <c r="N32" i="17"/>
  <c r="M32" i="17"/>
  <c r="T31" i="17"/>
  <c r="S31" i="17"/>
  <c r="R31" i="17"/>
  <c r="Q31" i="17"/>
  <c r="P31" i="17"/>
  <c r="O31" i="17"/>
  <c r="N31" i="17"/>
  <c r="M31" i="17"/>
  <c r="C12" i="17" s="1"/>
  <c r="T18" i="17"/>
  <c r="S18" i="17"/>
  <c r="R18" i="17"/>
  <c r="Q18" i="17"/>
  <c r="P18" i="17"/>
  <c r="O18" i="17"/>
  <c r="N18" i="17"/>
  <c r="M18" i="17"/>
  <c r="D13" i="17"/>
  <c r="C13" i="17"/>
  <c r="F13" i="17" s="1"/>
  <c r="B13" i="17"/>
  <c r="D12" i="17"/>
  <c r="J12" i="17" s="1"/>
  <c r="D11" i="17"/>
  <c r="F11" i="17" s="1"/>
  <c r="C11" i="17"/>
  <c r="B11" i="17"/>
  <c r="D9" i="17"/>
  <c r="B31" i="2" s="1"/>
  <c r="C9" i="17"/>
  <c r="F9" i="17" s="1"/>
  <c r="B9" i="17"/>
  <c r="E9" i="17" s="1"/>
  <c r="J21" i="16"/>
  <c r="X21" i="16" s="1"/>
  <c r="I21" i="16"/>
  <c r="W21" i="16" s="1"/>
  <c r="H21" i="16"/>
  <c r="V21" i="16" s="1"/>
  <c r="G21" i="16"/>
  <c r="U21" i="16" s="1"/>
  <c r="F21" i="16"/>
  <c r="T21" i="16" s="1"/>
  <c r="E21" i="16"/>
  <c r="S21" i="16" s="1"/>
  <c r="D21" i="16"/>
  <c r="R21" i="16" s="1"/>
  <c r="C21" i="16"/>
  <c r="Q21" i="16" s="1"/>
  <c r="J15" i="16"/>
  <c r="I15" i="16"/>
  <c r="H15" i="16"/>
  <c r="G15" i="16"/>
  <c r="F15" i="16"/>
  <c r="E15" i="16"/>
  <c r="D15" i="16"/>
  <c r="C15" i="16"/>
  <c r="J14" i="16"/>
  <c r="I14" i="16"/>
  <c r="H14" i="16"/>
  <c r="G14" i="16"/>
  <c r="F14" i="16"/>
  <c r="E14" i="16"/>
  <c r="D14" i="16"/>
  <c r="C14" i="16"/>
  <c r="J13" i="16"/>
  <c r="I13" i="16"/>
  <c r="H13" i="16"/>
  <c r="G13" i="16"/>
  <c r="F13" i="16"/>
  <c r="E13" i="16"/>
  <c r="D13" i="16"/>
  <c r="C13" i="16"/>
  <c r="O11" i="16"/>
  <c r="N11" i="16"/>
  <c r="X10" i="16"/>
  <c r="W10" i="16"/>
  <c r="V10" i="16"/>
  <c r="U10" i="16"/>
  <c r="T10" i="16"/>
  <c r="S10" i="16"/>
  <c r="AA10" i="16" s="1"/>
  <c r="R10" i="16"/>
  <c r="Q10" i="16"/>
  <c r="N10" i="16"/>
  <c r="M10" i="16"/>
  <c r="L10" i="16"/>
  <c r="O10" i="16" s="1"/>
  <c r="K10" i="16"/>
  <c r="X9" i="16"/>
  <c r="W9" i="16"/>
  <c r="V9" i="16"/>
  <c r="U9" i="16"/>
  <c r="T9" i="16"/>
  <c r="S9" i="16"/>
  <c r="R9" i="16"/>
  <c r="Q9" i="16"/>
  <c r="M9" i="16"/>
  <c r="L9" i="16"/>
  <c r="K9" i="16"/>
  <c r="X8" i="16"/>
  <c r="W8" i="16"/>
  <c r="V8" i="16"/>
  <c r="U8" i="16"/>
  <c r="T8" i="16"/>
  <c r="S8" i="16"/>
  <c r="AA8" i="16" s="1"/>
  <c r="R8" i="16"/>
  <c r="Q8" i="16"/>
  <c r="N8" i="16"/>
  <c r="M8" i="16"/>
  <c r="O8" i="16" s="1"/>
  <c r="L8" i="16"/>
  <c r="K8" i="16"/>
  <c r="X7" i="16"/>
  <c r="W7" i="16"/>
  <c r="V7" i="16"/>
  <c r="U7" i="16"/>
  <c r="T7" i="16"/>
  <c r="S7" i="16"/>
  <c r="R7" i="16"/>
  <c r="Q7" i="16"/>
  <c r="M7" i="16"/>
  <c r="L7" i="16"/>
  <c r="K7" i="16"/>
  <c r="X6" i="16"/>
  <c r="W6" i="16"/>
  <c r="V6" i="16"/>
  <c r="U6" i="16"/>
  <c r="T6" i="16"/>
  <c r="S6" i="16"/>
  <c r="AA6" i="16" s="1"/>
  <c r="R6" i="16"/>
  <c r="Q6" i="16"/>
  <c r="N6" i="16"/>
  <c r="M6" i="16"/>
  <c r="O6" i="16" s="1"/>
  <c r="L6" i="16"/>
  <c r="K6" i="16"/>
  <c r="X5" i="16"/>
  <c r="W5" i="16"/>
  <c r="V5" i="16"/>
  <c r="U5" i="16"/>
  <c r="T5" i="16"/>
  <c r="S5" i="16"/>
  <c r="R5" i="16"/>
  <c r="Q5" i="16"/>
  <c r="M5" i="16"/>
  <c r="L5" i="16"/>
  <c r="K5" i="16"/>
  <c r="X4" i="16"/>
  <c r="W4" i="16"/>
  <c r="V4" i="16"/>
  <c r="U4" i="16"/>
  <c r="T4" i="16"/>
  <c r="S4" i="16"/>
  <c r="R4" i="16"/>
  <c r="Q4" i="16"/>
  <c r="O4" i="16"/>
  <c r="M4" i="16"/>
  <c r="L4" i="16"/>
  <c r="K4" i="16"/>
  <c r="N4" i="16" s="1"/>
  <c r="Q22" i="9"/>
  <c r="R22" i="9"/>
  <c r="S22" i="9"/>
  <c r="T22" i="9"/>
  <c r="U22" i="9"/>
  <c r="V22" i="9"/>
  <c r="W22" i="9"/>
  <c r="X22" i="9"/>
  <c r="R21" i="9"/>
  <c r="S21" i="9"/>
  <c r="T21" i="9"/>
  <c r="U21" i="9"/>
  <c r="V21" i="9"/>
  <c r="W21" i="9"/>
  <c r="X21" i="9"/>
  <c r="Q21" i="9"/>
  <c r="K21" i="9"/>
  <c r="K14" i="9" s="1"/>
  <c r="D21" i="9"/>
  <c r="E21" i="9"/>
  <c r="F21" i="9"/>
  <c r="G21" i="9"/>
  <c r="H21" i="9"/>
  <c r="I21" i="9"/>
  <c r="J21" i="9"/>
  <c r="C21" i="9"/>
  <c r="L13" i="16" l="1"/>
  <c r="M13" i="16"/>
  <c r="C121" i="2" s="1"/>
  <c r="M16" i="9"/>
  <c r="C66" i="2" s="1"/>
  <c r="C65" i="2"/>
  <c r="B65" i="2"/>
  <c r="M3" i="6"/>
  <c r="O3" i="6"/>
  <c r="C64" i="2"/>
  <c r="B64" i="2"/>
  <c r="O21" i="12"/>
  <c r="H8" i="17"/>
  <c r="B12" i="17"/>
  <c r="H12" i="17" s="1"/>
  <c r="W11" i="17"/>
  <c r="F8" i="17"/>
  <c r="F12" i="17"/>
  <c r="I12" i="17"/>
  <c r="C31" i="2"/>
  <c r="B32" i="2"/>
  <c r="C33" i="2"/>
  <c r="B33" i="2"/>
  <c r="C32" i="2"/>
  <c r="I8" i="17"/>
  <c r="F7" i="17"/>
  <c r="AA11" i="16"/>
  <c r="Z4" i="16"/>
  <c r="N5" i="16"/>
  <c r="Y6" i="16"/>
  <c r="N7" i="16"/>
  <c r="Y8" i="16"/>
  <c r="N9" i="16"/>
  <c r="Y10" i="16"/>
  <c r="O5" i="16"/>
  <c r="Z6" i="16"/>
  <c r="AC6" i="16" s="1"/>
  <c r="O7" i="16"/>
  <c r="Z8" i="16"/>
  <c r="AC8" i="16" s="1"/>
  <c r="O9" i="16"/>
  <c r="Z10" i="16"/>
  <c r="AC10" i="16" s="1"/>
  <c r="Y4" i="16"/>
  <c r="AA4" i="16"/>
  <c r="AA7" i="16"/>
  <c r="AA9" i="16"/>
  <c r="AB6" i="16"/>
  <c r="AB8" i="16"/>
  <c r="AB10" i="16"/>
  <c r="Y21" i="16"/>
  <c r="O13" i="16"/>
  <c r="N13" i="16"/>
  <c r="Y5" i="16"/>
  <c r="Y7" i="16"/>
  <c r="AB7" i="16" s="1"/>
  <c r="Y9" i="16"/>
  <c r="AB9" i="16" s="1"/>
  <c r="Y11" i="16"/>
  <c r="AB11" i="16" s="1"/>
  <c r="Z5" i="16"/>
  <c r="Z9" i="16"/>
  <c r="Z11" i="16"/>
  <c r="AC11" i="16" s="1"/>
  <c r="Z7" i="16"/>
  <c r="AC7" i="16" s="1"/>
  <c r="AA5" i="16"/>
  <c r="K13" i="16"/>
  <c r="C122" i="2" s="1"/>
  <c r="K21" i="16"/>
  <c r="L21" i="16" s="1"/>
  <c r="Y21" i="9"/>
  <c r="Z21" i="9" s="1"/>
  <c r="AA21" i="9" s="1"/>
  <c r="AB21" i="9" s="1"/>
  <c r="L21" i="9"/>
  <c r="K16" i="9"/>
  <c r="N4" i="6"/>
  <c r="O4" i="6"/>
  <c r="M4" i="6"/>
  <c r="C69" i="2" l="1"/>
  <c r="B66" i="2"/>
  <c r="N16" i="9"/>
  <c r="C67" i="2"/>
  <c r="C29" i="2"/>
  <c r="E8" i="17"/>
  <c r="B30" i="2" s="1"/>
  <c r="E12" i="17"/>
  <c r="B29" i="2"/>
  <c r="J8" i="17"/>
  <c r="B28" i="2"/>
  <c r="C28" i="2"/>
  <c r="Q4" i="6"/>
  <c r="P4" i="6"/>
  <c r="AC9" i="16"/>
  <c r="AB4" i="16"/>
  <c r="AB5" i="16"/>
  <c r="AC4" i="16"/>
  <c r="AC5" i="16"/>
  <c r="L15" i="16"/>
  <c r="L16" i="16" s="1"/>
  <c r="Z21" i="16"/>
  <c r="M21" i="16"/>
  <c r="O21" i="16" s="1"/>
  <c r="K14" i="16"/>
  <c r="K16" i="16" s="1"/>
  <c r="AC21" i="9"/>
  <c r="M21" i="9"/>
  <c r="L15" i="9"/>
  <c r="L16" i="9" s="1"/>
  <c r="O16" i="9" s="1"/>
  <c r="C103" i="2"/>
  <c r="B103" i="2"/>
  <c r="C102" i="2"/>
  <c r="B102" i="2"/>
  <c r="B85" i="2"/>
  <c r="M16" i="16" l="1"/>
  <c r="O16" i="16" s="1"/>
  <c r="AA21" i="16"/>
  <c r="AB21" i="16" s="1"/>
  <c r="C119" i="2"/>
  <c r="B119" i="2"/>
  <c r="C70" i="2"/>
  <c r="N21" i="9"/>
  <c r="Q10" i="6"/>
  <c r="Q12" i="6" s="1"/>
  <c r="B67" i="2"/>
  <c r="C68" i="2"/>
  <c r="B68" i="2"/>
  <c r="C30" i="2"/>
  <c r="N21" i="16"/>
  <c r="AC21" i="16"/>
  <c r="O21" i="9"/>
  <c r="C86" i="2"/>
  <c r="B86" i="2"/>
  <c r="C85" i="2"/>
  <c r="N16" i="16" l="1"/>
  <c r="B118" i="2"/>
  <c r="C118" i="2"/>
  <c r="C120" i="2"/>
  <c r="M12" i="14"/>
  <c r="M11" i="14"/>
  <c r="J15" i="15"/>
  <c r="I15" i="15"/>
  <c r="H15" i="15"/>
  <c r="G15" i="15"/>
  <c r="F15" i="15"/>
  <c r="E15" i="15"/>
  <c r="D15" i="15"/>
  <c r="C15" i="15"/>
  <c r="J14" i="15"/>
  <c r="I14" i="15"/>
  <c r="H14" i="15"/>
  <c r="G14" i="15"/>
  <c r="F14" i="15"/>
  <c r="E14" i="15"/>
  <c r="D14" i="15"/>
  <c r="C14" i="15"/>
  <c r="J13" i="15"/>
  <c r="I13" i="15"/>
  <c r="H13" i="15"/>
  <c r="G13" i="15"/>
  <c r="F13" i="15"/>
  <c r="E13" i="15"/>
  <c r="D13" i="15"/>
  <c r="C13" i="15"/>
  <c r="M12" i="15"/>
  <c r="L12" i="15"/>
  <c r="K12" i="15"/>
  <c r="M11" i="15"/>
  <c r="L11" i="15"/>
  <c r="K11" i="15"/>
  <c r="X10" i="15"/>
  <c r="W10" i="15"/>
  <c r="V10" i="15"/>
  <c r="U10" i="15"/>
  <c r="T10" i="15"/>
  <c r="S10" i="15"/>
  <c r="R10" i="15"/>
  <c r="Q10" i="15"/>
  <c r="M10" i="15"/>
  <c r="L10" i="15"/>
  <c r="K10" i="15"/>
  <c r="N10" i="15" s="1"/>
  <c r="X9" i="15"/>
  <c r="W9" i="15"/>
  <c r="V9" i="15"/>
  <c r="U9" i="15"/>
  <c r="T9" i="15"/>
  <c r="S9" i="15"/>
  <c r="R9" i="15"/>
  <c r="Q9" i="15"/>
  <c r="M9" i="15"/>
  <c r="L9" i="15"/>
  <c r="O9" i="15" s="1"/>
  <c r="K9" i="15"/>
  <c r="N9" i="15" s="1"/>
  <c r="X8" i="15"/>
  <c r="W8" i="15"/>
  <c r="V8" i="15"/>
  <c r="U8" i="15"/>
  <c r="T8" i="15"/>
  <c r="S8" i="15"/>
  <c r="R8" i="15"/>
  <c r="Q8" i="15"/>
  <c r="M8" i="15"/>
  <c r="O8" i="15" s="1"/>
  <c r="L8" i="15"/>
  <c r="K8" i="15"/>
  <c r="N8" i="15" s="1"/>
  <c r="X7" i="15"/>
  <c r="W7" i="15"/>
  <c r="V7" i="15"/>
  <c r="U7" i="15"/>
  <c r="T7" i="15"/>
  <c r="S7" i="15"/>
  <c r="R7" i="15"/>
  <c r="Q7" i="15"/>
  <c r="M7" i="15"/>
  <c r="L7" i="15"/>
  <c r="K7" i="15"/>
  <c r="X6" i="15"/>
  <c r="W6" i="15"/>
  <c r="V6" i="15"/>
  <c r="U6" i="15"/>
  <c r="T6" i="15"/>
  <c r="S6" i="15"/>
  <c r="R6" i="15"/>
  <c r="Q6" i="15"/>
  <c r="M6" i="15"/>
  <c r="O6" i="15" s="1"/>
  <c r="L6" i="15"/>
  <c r="K6" i="15"/>
  <c r="N6" i="15" s="1"/>
  <c r="X5" i="15"/>
  <c r="W5" i="15"/>
  <c r="V5" i="15"/>
  <c r="U5" i="15"/>
  <c r="T5" i="15"/>
  <c r="S5" i="15"/>
  <c r="R5" i="15"/>
  <c r="Q5" i="15"/>
  <c r="M5" i="15"/>
  <c r="L5" i="15"/>
  <c r="O5" i="15" s="1"/>
  <c r="K5" i="15"/>
  <c r="X4" i="15"/>
  <c r="W4" i="15"/>
  <c r="V4" i="15"/>
  <c r="U4" i="15"/>
  <c r="T4" i="15"/>
  <c r="S4" i="15"/>
  <c r="R4" i="15"/>
  <c r="Q4" i="15"/>
  <c r="M4" i="15"/>
  <c r="O4" i="15" s="1"/>
  <c r="L4" i="15"/>
  <c r="K4" i="15"/>
  <c r="N4" i="15" s="1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L12" i="14"/>
  <c r="K12" i="14"/>
  <c r="L11" i="14"/>
  <c r="K11" i="14"/>
  <c r="X10" i="14"/>
  <c r="W10" i="14"/>
  <c r="V10" i="14"/>
  <c r="U10" i="14"/>
  <c r="T10" i="14"/>
  <c r="S10" i="14"/>
  <c r="R10" i="14"/>
  <c r="Q10" i="14"/>
  <c r="M10" i="14"/>
  <c r="N10" i="14" s="1"/>
  <c r="L10" i="14"/>
  <c r="K10" i="14"/>
  <c r="X9" i="14"/>
  <c r="W9" i="14"/>
  <c r="V9" i="14"/>
  <c r="U9" i="14"/>
  <c r="T9" i="14"/>
  <c r="S9" i="14"/>
  <c r="R9" i="14"/>
  <c r="Q9" i="14"/>
  <c r="M9" i="14"/>
  <c r="O9" i="14" s="1"/>
  <c r="L9" i="14"/>
  <c r="K9" i="14"/>
  <c r="N9" i="14" s="1"/>
  <c r="X8" i="14"/>
  <c r="W8" i="14"/>
  <c r="V8" i="14"/>
  <c r="U8" i="14"/>
  <c r="T8" i="14"/>
  <c r="S8" i="14"/>
  <c r="R8" i="14"/>
  <c r="Q8" i="14"/>
  <c r="M8" i="14"/>
  <c r="L8" i="14"/>
  <c r="K8" i="14"/>
  <c r="X7" i="14"/>
  <c r="W7" i="14"/>
  <c r="V7" i="14"/>
  <c r="U7" i="14"/>
  <c r="T7" i="14"/>
  <c r="S7" i="14"/>
  <c r="R7" i="14"/>
  <c r="Q7" i="14"/>
  <c r="M7" i="14"/>
  <c r="L7" i="14"/>
  <c r="K7" i="14"/>
  <c r="X6" i="14"/>
  <c r="W6" i="14"/>
  <c r="V6" i="14"/>
  <c r="U6" i="14"/>
  <c r="T6" i="14"/>
  <c r="S6" i="14"/>
  <c r="R6" i="14"/>
  <c r="Q6" i="14"/>
  <c r="M6" i="14"/>
  <c r="L6" i="14"/>
  <c r="K6" i="14"/>
  <c r="X5" i="14"/>
  <c r="W5" i="14"/>
  <c r="V5" i="14"/>
  <c r="U5" i="14"/>
  <c r="T5" i="14"/>
  <c r="S5" i="14"/>
  <c r="R5" i="14"/>
  <c r="Q5" i="14"/>
  <c r="M5" i="14"/>
  <c r="L5" i="14"/>
  <c r="O5" i="14" s="1"/>
  <c r="K5" i="14"/>
  <c r="N5" i="14" s="1"/>
  <c r="X4" i="14"/>
  <c r="W4" i="14"/>
  <c r="V4" i="14"/>
  <c r="U4" i="14"/>
  <c r="T4" i="14"/>
  <c r="S4" i="14"/>
  <c r="R4" i="14"/>
  <c r="Q4" i="14"/>
  <c r="M4" i="14"/>
  <c r="L4" i="14"/>
  <c r="K4" i="14"/>
  <c r="AA10" i="9"/>
  <c r="X10" i="9"/>
  <c r="W10" i="9"/>
  <c r="V10" i="9"/>
  <c r="U10" i="9"/>
  <c r="T10" i="9"/>
  <c r="S10" i="9"/>
  <c r="R10" i="9"/>
  <c r="Q10" i="9"/>
  <c r="Y10" i="9" s="1"/>
  <c r="AB10" i="9" s="1"/>
  <c r="AA9" i="9"/>
  <c r="X9" i="9"/>
  <c r="W9" i="9"/>
  <c r="V9" i="9"/>
  <c r="U9" i="9"/>
  <c r="T9" i="9"/>
  <c r="S9" i="9"/>
  <c r="R9" i="9"/>
  <c r="Z9" i="9" s="1"/>
  <c r="AC9" i="9" s="1"/>
  <c r="Q9" i="9"/>
  <c r="Y9" i="9" s="1"/>
  <c r="AB9" i="9" s="1"/>
  <c r="X8" i="9"/>
  <c r="W8" i="9"/>
  <c r="V8" i="9"/>
  <c r="U8" i="9"/>
  <c r="T8" i="9"/>
  <c r="S8" i="9"/>
  <c r="R8" i="9"/>
  <c r="Q8" i="9"/>
  <c r="AA8" i="9" s="1"/>
  <c r="X7" i="9"/>
  <c r="W7" i="9"/>
  <c r="V7" i="9"/>
  <c r="U7" i="9"/>
  <c r="T7" i="9"/>
  <c r="S7" i="9"/>
  <c r="R7" i="9"/>
  <c r="Q7" i="9"/>
  <c r="AA7" i="9" s="1"/>
  <c r="X6" i="9"/>
  <c r="W6" i="9"/>
  <c r="V6" i="9"/>
  <c r="U6" i="9"/>
  <c r="T6" i="9"/>
  <c r="S6" i="9"/>
  <c r="R6" i="9"/>
  <c r="AA6" i="9" s="1"/>
  <c r="Q6" i="9"/>
  <c r="Y6" i="9" s="1"/>
  <c r="X5" i="9"/>
  <c r="W5" i="9"/>
  <c r="V5" i="9"/>
  <c r="U5" i="9"/>
  <c r="T5" i="9"/>
  <c r="S5" i="9"/>
  <c r="Y11" i="9" s="1"/>
  <c r="R5" i="9"/>
  <c r="Z5" i="9" s="1"/>
  <c r="Q5" i="9"/>
  <c r="AA11" i="9" s="1"/>
  <c r="X4" i="9"/>
  <c r="W4" i="9"/>
  <c r="V4" i="9"/>
  <c r="U4" i="9"/>
  <c r="T4" i="9"/>
  <c r="S4" i="9"/>
  <c r="R4" i="9"/>
  <c r="Q4" i="9"/>
  <c r="AA4" i="9" s="1"/>
  <c r="R4" i="12"/>
  <c r="S4" i="12"/>
  <c r="T4" i="12"/>
  <c r="U4" i="12"/>
  <c r="V4" i="12"/>
  <c r="W4" i="12"/>
  <c r="X4" i="12"/>
  <c r="R5" i="12"/>
  <c r="S5" i="12"/>
  <c r="T5" i="12"/>
  <c r="U5" i="12"/>
  <c r="V5" i="12"/>
  <c r="W5" i="12"/>
  <c r="X5" i="12"/>
  <c r="R6" i="12"/>
  <c r="S6" i="12"/>
  <c r="T6" i="12"/>
  <c r="U6" i="12"/>
  <c r="V6" i="12"/>
  <c r="W6" i="12"/>
  <c r="X6" i="12"/>
  <c r="R7" i="12"/>
  <c r="S7" i="12"/>
  <c r="T7" i="12"/>
  <c r="U7" i="12"/>
  <c r="V7" i="12"/>
  <c r="W7" i="12"/>
  <c r="X7" i="12"/>
  <c r="R8" i="12"/>
  <c r="S8" i="12"/>
  <c r="T8" i="12"/>
  <c r="U8" i="12"/>
  <c r="V8" i="12"/>
  <c r="W8" i="12"/>
  <c r="X8" i="12"/>
  <c r="R9" i="12"/>
  <c r="S9" i="12"/>
  <c r="T9" i="12"/>
  <c r="U9" i="12"/>
  <c r="V9" i="12"/>
  <c r="W9" i="12"/>
  <c r="X9" i="12"/>
  <c r="R10" i="12"/>
  <c r="S10" i="12"/>
  <c r="T10" i="12"/>
  <c r="U10" i="12"/>
  <c r="V10" i="12"/>
  <c r="W10" i="12"/>
  <c r="X10" i="12"/>
  <c r="Q8" i="12"/>
  <c r="Y8" i="12" s="1"/>
  <c r="Q9" i="12"/>
  <c r="Z9" i="12" s="1"/>
  <c r="Q10" i="12"/>
  <c r="Q4" i="12"/>
  <c r="Y4" i="12" s="1"/>
  <c r="Q5" i="12"/>
  <c r="Y5" i="12" s="1"/>
  <c r="Q6" i="12"/>
  <c r="Z6" i="12" s="1"/>
  <c r="Q7" i="12"/>
  <c r="Z7" i="12" s="1"/>
  <c r="C41" i="2"/>
  <c r="C18" i="2"/>
  <c r="C40" i="2"/>
  <c r="B41" i="2"/>
  <c r="B40" i="2"/>
  <c r="B39" i="2"/>
  <c r="B38" i="2"/>
  <c r="B37" i="2"/>
  <c r="B36" i="2"/>
  <c r="C39" i="2"/>
  <c r="C38" i="2"/>
  <c r="C37" i="2"/>
  <c r="C36" i="2"/>
  <c r="K11" i="9"/>
  <c r="N11" i="9" s="1"/>
  <c r="L11" i="9"/>
  <c r="M11" i="9"/>
  <c r="O11" i="9" s="1"/>
  <c r="K12" i="9"/>
  <c r="L12" i="9"/>
  <c r="O12" i="9" s="1"/>
  <c r="M12" i="9"/>
  <c r="N12" i="9" s="1"/>
  <c r="D15" i="12"/>
  <c r="E15" i="12"/>
  <c r="F15" i="12"/>
  <c r="G15" i="12"/>
  <c r="H15" i="12"/>
  <c r="I15" i="12"/>
  <c r="J15" i="12"/>
  <c r="C15" i="12"/>
  <c r="D14" i="12"/>
  <c r="E14" i="12"/>
  <c r="F14" i="12"/>
  <c r="G14" i="12"/>
  <c r="H14" i="12"/>
  <c r="I14" i="12"/>
  <c r="J14" i="12"/>
  <c r="C14" i="12"/>
  <c r="D13" i="12"/>
  <c r="E13" i="12"/>
  <c r="F13" i="12"/>
  <c r="G13" i="12"/>
  <c r="H13" i="12"/>
  <c r="I13" i="12"/>
  <c r="J13" i="12"/>
  <c r="C13" i="12"/>
  <c r="M5" i="9"/>
  <c r="M6" i="9"/>
  <c r="M8" i="9"/>
  <c r="M9" i="9"/>
  <c r="M10" i="9"/>
  <c r="M4" i="9"/>
  <c r="K11" i="12"/>
  <c r="L11" i="12"/>
  <c r="M11" i="12"/>
  <c r="O11" i="12" s="1"/>
  <c r="K12" i="12"/>
  <c r="L12" i="12"/>
  <c r="M12" i="12"/>
  <c r="M10" i="12"/>
  <c r="M9" i="12"/>
  <c r="M8" i="12"/>
  <c r="M7" i="12"/>
  <c r="C44" i="2" s="1"/>
  <c r="M6" i="12"/>
  <c r="M5" i="12"/>
  <c r="M4" i="12"/>
  <c r="L10" i="12"/>
  <c r="K10" i="12"/>
  <c r="L9" i="12"/>
  <c r="K9" i="12"/>
  <c r="L8" i="12"/>
  <c r="K8" i="12"/>
  <c r="L7" i="12"/>
  <c r="K7" i="12"/>
  <c r="L6" i="12"/>
  <c r="K6" i="12"/>
  <c r="L5" i="12"/>
  <c r="K5" i="12"/>
  <c r="L4" i="12"/>
  <c r="O4" i="12" s="1"/>
  <c r="K4" i="12"/>
  <c r="N12" i="15" l="1"/>
  <c r="C95" i="2"/>
  <c r="B95" i="2"/>
  <c r="C97" i="2"/>
  <c r="B97" i="2"/>
  <c r="B96" i="2"/>
  <c r="C96" i="2"/>
  <c r="O11" i="15"/>
  <c r="C94" i="2"/>
  <c r="B94" i="2"/>
  <c r="N12" i="14"/>
  <c r="O11" i="14"/>
  <c r="N11" i="15"/>
  <c r="O12" i="15"/>
  <c r="AA9" i="15"/>
  <c r="Y4" i="15"/>
  <c r="AA6" i="15"/>
  <c r="K14" i="15"/>
  <c r="K16" i="15" s="1"/>
  <c r="Y10" i="15"/>
  <c r="M13" i="15"/>
  <c r="M16" i="15" s="1"/>
  <c r="Y8" i="15"/>
  <c r="AA7" i="15"/>
  <c r="K13" i="15"/>
  <c r="Y6" i="15"/>
  <c r="L15" i="15"/>
  <c r="L16" i="15" s="1"/>
  <c r="N7" i="15"/>
  <c r="L13" i="15"/>
  <c r="AA4" i="15"/>
  <c r="AB4" i="15" s="1"/>
  <c r="Z6" i="15"/>
  <c r="AC6" i="15" s="1"/>
  <c r="O7" i="15"/>
  <c r="AA8" i="15"/>
  <c r="AA10" i="15"/>
  <c r="AB10" i="15" s="1"/>
  <c r="Z8" i="15"/>
  <c r="Z10" i="15"/>
  <c r="O10" i="15"/>
  <c r="AA11" i="15"/>
  <c r="Z4" i="15"/>
  <c r="N5" i="15"/>
  <c r="AA10" i="12"/>
  <c r="Z4" i="12"/>
  <c r="Z10" i="12"/>
  <c r="Y9" i="12"/>
  <c r="Y7" i="12"/>
  <c r="Y6" i="12"/>
  <c r="Y11" i="12"/>
  <c r="N7" i="12"/>
  <c r="AA4" i="12"/>
  <c r="AB4" i="12" s="1"/>
  <c r="Y10" i="12"/>
  <c r="AB10" i="12" s="1"/>
  <c r="AA8" i="12"/>
  <c r="AB8" i="12" s="1"/>
  <c r="AA5" i="12"/>
  <c r="AB5" i="12" s="1"/>
  <c r="Z11" i="12"/>
  <c r="B44" i="2"/>
  <c r="AA9" i="12"/>
  <c r="AB9" i="12" s="1"/>
  <c r="Z8" i="12"/>
  <c r="AA7" i="12"/>
  <c r="AC7" i="12" s="1"/>
  <c r="AA6" i="12"/>
  <c r="AC6" i="12" s="1"/>
  <c r="Z5" i="12"/>
  <c r="AC5" i="12" s="1"/>
  <c r="AA11" i="12"/>
  <c r="B45" i="2"/>
  <c r="C45" i="2"/>
  <c r="Y10" i="14"/>
  <c r="O7" i="14"/>
  <c r="M13" i="14"/>
  <c r="M16" i="14" s="1"/>
  <c r="O12" i="14"/>
  <c r="N11" i="14"/>
  <c r="AA4" i="14"/>
  <c r="N7" i="14"/>
  <c r="Y7" i="14"/>
  <c r="K13" i="14"/>
  <c r="K14" i="14"/>
  <c r="K16" i="14" s="1"/>
  <c r="L15" i="14"/>
  <c r="L16" i="14" s="1"/>
  <c r="O16" i="14" s="1"/>
  <c r="AA10" i="14"/>
  <c r="AB10" i="14" s="1"/>
  <c r="Y8" i="14"/>
  <c r="N8" i="14"/>
  <c r="Y9" i="14"/>
  <c r="AA8" i="14"/>
  <c r="Y4" i="14"/>
  <c r="Y11" i="14"/>
  <c r="AA6" i="14"/>
  <c r="N6" i="14"/>
  <c r="N4" i="14"/>
  <c r="Y6" i="14"/>
  <c r="Y5" i="15"/>
  <c r="Y9" i="15"/>
  <c r="Y11" i="15"/>
  <c r="Z5" i="15"/>
  <c r="Z7" i="15"/>
  <c r="Z9" i="15"/>
  <c r="Z11" i="15"/>
  <c r="Y7" i="15"/>
  <c r="AA5" i="15"/>
  <c r="Z6" i="14"/>
  <c r="Z10" i="14"/>
  <c r="L13" i="14"/>
  <c r="O4" i="14"/>
  <c r="Z5" i="14"/>
  <c r="O6" i="14"/>
  <c r="Z7" i="14"/>
  <c r="O8" i="14"/>
  <c r="Z9" i="14"/>
  <c r="O10" i="14"/>
  <c r="Z11" i="14"/>
  <c r="Z4" i="14"/>
  <c r="Z8" i="14"/>
  <c r="AA5" i="14"/>
  <c r="AA7" i="14"/>
  <c r="AA9" i="14"/>
  <c r="AA11" i="14"/>
  <c r="AB11" i="14" s="1"/>
  <c r="Y5" i="14"/>
  <c r="AB11" i="9"/>
  <c r="AB6" i="9"/>
  <c r="AA5" i="9"/>
  <c r="AC5" i="9" s="1"/>
  <c r="Z6" i="9"/>
  <c r="AC6" i="9" s="1"/>
  <c r="Y7" i="9"/>
  <c r="AB7" i="9" s="1"/>
  <c r="Z10" i="9"/>
  <c r="AC10" i="9" s="1"/>
  <c r="Y4" i="9"/>
  <c r="AB4" i="9" s="1"/>
  <c r="Z7" i="9"/>
  <c r="AC7" i="9" s="1"/>
  <c r="Y8" i="9"/>
  <c r="AB8" i="9" s="1"/>
  <c r="Z11" i="9"/>
  <c r="AC11" i="9" s="1"/>
  <c r="Z4" i="9"/>
  <c r="AC4" i="9" s="1"/>
  <c r="Y5" i="9"/>
  <c r="Z8" i="9"/>
  <c r="AC8" i="9" s="1"/>
  <c r="AC8" i="12"/>
  <c r="M13" i="12"/>
  <c r="O12" i="12"/>
  <c r="N11" i="12"/>
  <c r="O5" i="12"/>
  <c r="O6" i="12"/>
  <c r="N12" i="12"/>
  <c r="O10" i="12"/>
  <c r="N9" i="12"/>
  <c r="O8" i="12"/>
  <c r="N8" i="12"/>
  <c r="N6" i="12"/>
  <c r="N4" i="12"/>
  <c r="O9" i="12"/>
  <c r="N5" i="12"/>
  <c r="O7" i="12"/>
  <c r="N10" i="12"/>
  <c r="L13" i="12"/>
  <c r="K13" i="12"/>
  <c r="C99" i="2" l="1"/>
  <c r="B99" i="2"/>
  <c r="C98" i="2"/>
  <c r="B98" i="2"/>
  <c r="O16" i="15"/>
  <c r="B104" i="2"/>
  <c r="C104" i="2"/>
  <c r="C87" i="2"/>
  <c r="B87" i="2"/>
  <c r="N16" i="15"/>
  <c r="C105" i="2"/>
  <c r="B105" i="2"/>
  <c r="B88" i="2"/>
  <c r="C88" i="2"/>
  <c r="N16" i="14"/>
  <c r="C91" i="2"/>
  <c r="O13" i="14"/>
  <c r="C90" i="2"/>
  <c r="O13" i="15"/>
  <c r="C107" i="2"/>
  <c r="C108" i="2"/>
  <c r="AC9" i="15"/>
  <c r="AB9" i="15"/>
  <c r="AB6" i="15"/>
  <c r="AC7" i="15"/>
  <c r="AB7" i="15"/>
  <c r="N13" i="15"/>
  <c r="AB11" i="15"/>
  <c r="AB8" i="15"/>
  <c r="AC11" i="15"/>
  <c r="AC4" i="15"/>
  <c r="AC10" i="15"/>
  <c r="AC8" i="15"/>
  <c r="AB7" i="14"/>
  <c r="AC10" i="12"/>
  <c r="AB11" i="12"/>
  <c r="B52" i="2"/>
  <c r="C52" i="2"/>
  <c r="AC11" i="12"/>
  <c r="AB6" i="12"/>
  <c r="AC4" i="12"/>
  <c r="AC9" i="12"/>
  <c r="B51" i="2"/>
  <c r="C51" i="2"/>
  <c r="AB7" i="12"/>
  <c r="AC10" i="14"/>
  <c r="AC8" i="14"/>
  <c r="AB6" i="14"/>
  <c r="AC4" i="14"/>
  <c r="AB4" i="14"/>
  <c r="AB9" i="14"/>
  <c r="N13" i="14"/>
  <c r="AC6" i="14"/>
  <c r="AB8" i="14"/>
  <c r="AB5" i="15"/>
  <c r="AC5" i="15"/>
  <c r="AC9" i="14"/>
  <c r="AC5" i="14"/>
  <c r="AB5" i="14"/>
  <c r="AC11" i="14"/>
  <c r="AC7" i="14"/>
  <c r="AB5" i="9"/>
  <c r="O13" i="12"/>
  <c r="N13" i="12"/>
  <c r="C106" i="2" l="1"/>
  <c r="B106" i="2"/>
  <c r="C89" i="2"/>
  <c r="B89" i="2"/>
  <c r="B53" i="2"/>
  <c r="C53" i="2"/>
  <c r="B16" i="2"/>
  <c r="V4" i="11"/>
  <c r="B18" i="2" s="1"/>
  <c r="T4" i="11"/>
  <c r="V3" i="11"/>
  <c r="U3" i="11"/>
  <c r="C15" i="2" s="1"/>
  <c r="T3" i="11"/>
  <c r="C16" i="2" s="1"/>
  <c r="V2" i="11"/>
  <c r="U2" i="11"/>
  <c r="B12" i="2" s="1"/>
  <c r="T2" i="11"/>
  <c r="B13" i="2" s="1"/>
  <c r="L3" i="11"/>
  <c r="M3" i="11"/>
  <c r="N3" i="11"/>
  <c r="O3" i="11"/>
  <c r="P3" i="11"/>
  <c r="M2" i="11"/>
  <c r="N2" i="11"/>
  <c r="O2" i="11"/>
  <c r="P2" i="11"/>
  <c r="L2" i="11"/>
  <c r="U4" i="11" s="1"/>
  <c r="C17" i="2" l="1"/>
  <c r="B17" i="2"/>
  <c r="B15" i="2"/>
  <c r="W3" i="11"/>
  <c r="C13" i="2"/>
  <c r="C12" i="2"/>
  <c r="W2" i="11"/>
  <c r="X2" i="11"/>
  <c r="X3" i="11"/>
  <c r="X4" i="11"/>
  <c r="W4" i="11"/>
  <c r="L10" i="9"/>
  <c r="K10" i="9"/>
  <c r="L9" i="9"/>
  <c r="K9" i="9"/>
  <c r="N8" i="9"/>
  <c r="L6" i="9"/>
  <c r="K6" i="9"/>
  <c r="L5" i="9"/>
  <c r="K5" i="9"/>
  <c r="L4" i="9"/>
  <c r="K4" i="9"/>
  <c r="D25" i="6"/>
  <c r="E25" i="6"/>
  <c r="F25" i="6"/>
  <c r="G25" i="6"/>
  <c r="H25" i="6"/>
  <c r="I25" i="6"/>
  <c r="J25" i="6"/>
  <c r="D26" i="6"/>
  <c r="E26" i="6"/>
  <c r="F26" i="6"/>
  <c r="G26" i="6"/>
  <c r="H26" i="6"/>
  <c r="I26" i="6"/>
  <c r="J26" i="6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C26" i="6"/>
  <c r="C27" i="6"/>
  <c r="C28" i="6"/>
  <c r="C29" i="6"/>
  <c r="C30" i="6"/>
  <c r="C31" i="6"/>
  <c r="C32" i="6"/>
  <c r="C33" i="6"/>
  <c r="C34" i="6"/>
  <c r="C35" i="6"/>
  <c r="C36" i="6"/>
  <c r="C25" i="6"/>
  <c r="F13" i="9"/>
  <c r="F14" i="9"/>
  <c r="F15" i="9"/>
  <c r="O7" i="9" l="1"/>
  <c r="Q3" i="6" s="1"/>
  <c r="N9" i="9"/>
  <c r="N5" i="9"/>
  <c r="N4" i="9"/>
  <c r="O9" i="9"/>
  <c r="O4" i="9"/>
  <c r="O5" i="9"/>
  <c r="B19" i="2"/>
  <c r="C19" i="2"/>
  <c r="C14" i="2"/>
  <c r="B14" i="2"/>
  <c r="N6" i="9"/>
  <c r="N10" i="9"/>
  <c r="O6" i="9"/>
  <c r="O10" i="9"/>
  <c r="M31" i="6"/>
  <c r="K25" i="6"/>
  <c r="M36" i="6"/>
  <c r="M32" i="6"/>
  <c r="L25" i="6"/>
  <c r="B23" i="2" s="1"/>
  <c r="I13" i="9"/>
  <c r="E13" i="9"/>
  <c r="I14" i="9"/>
  <c r="E14" i="9"/>
  <c r="I15" i="9"/>
  <c r="E15" i="9"/>
  <c r="M25" i="6"/>
  <c r="H13" i="9"/>
  <c r="D13" i="9"/>
  <c r="H14" i="9"/>
  <c r="D14" i="9"/>
  <c r="H15" i="9"/>
  <c r="D15" i="9"/>
  <c r="M34" i="6"/>
  <c r="M30" i="6"/>
  <c r="C13" i="9"/>
  <c r="G13" i="9"/>
  <c r="C14" i="9"/>
  <c r="G14" i="9"/>
  <c r="C15" i="9"/>
  <c r="G15" i="9"/>
  <c r="M35" i="6"/>
  <c r="M29" i="6"/>
  <c r="M33" i="6"/>
  <c r="J13" i="9"/>
  <c r="J14" i="9"/>
  <c r="J15" i="9"/>
  <c r="O8" i="9"/>
  <c r="N7" i="9"/>
  <c r="P3" i="6" s="1"/>
  <c r="M13" i="9" l="1"/>
  <c r="K13" i="9"/>
  <c r="L13" i="9"/>
  <c r="C22" i="2"/>
  <c r="B22" i="2"/>
  <c r="O25" i="6"/>
  <c r="C23" i="2"/>
  <c r="N25" i="6"/>
  <c r="O13" i="9" l="1"/>
  <c r="N13" i="9"/>
  <c r="B24" i="2"/>
  <c r="C24" i="2"/>
  <c r="P2" i="6" l="1"/>
  <c r="Q2" i="6"/>
</calcChain>
</file>

<file path=xl/sharedStrings.xml><?xml version="1.0" encoding="utf-8"?>
<sst xmlns="http://schemas.openxmlformats.org/spreadsheetml/2006/main" count="2105" uniqueCount="457">
  <si>
    <t>Displacement</t>
  </si>
  <si>
    <t>Engine</t>
  </si>
  <si>
    <t>S65B40</t>
  </si>
  <si>
    <t>Cylinders</t>
  </si>
  <si>
    <t>Piston Bore</t>
  </si>
  <si>
    <t>92.00 mm</t>
  </si>
  <si>
    <t>3.6220 inch</t>
  </si>
  <si>
    <t>Crankshaft Stroke</t>
  </si>
  <si>
    <t>75.2 mm</t>
  </si>
  <si>
    <t>2.9606 inch</t>
  </si>
  <si>
    <t>3999 cc</t>
  </si>
  <si>
    <t>244.05 sq. inches</t>
  </si>
  <si>
    <t>Crankshaft</t>
  </si>
  <si>
    <t>Forged</t>
  </si>
  <si>
    <t>Conecting Rod Length</t>
  </si>
  <si>
    <t>140.72 mm</t>
  </si>
  <si>
    <t>5.5402 inch</t>
  </si>
  <si>
    <t>Connecting Rod Weight</t>
  </si>
  <si>
    <t>621.5 grams</t>
  </si>
  <si>
    <t>21.92 ounces</t>
  </si>
  <si>
    <t>Piston Weight</t>
  </si>
  <si>
    <t>487.0 grams</t>
  </si>
  <si>
    <t>17.18 ounces</t>
  </si>
  <si>
    <t>Crankshaft Main Journals &amp; Bearings</t>
  </si>
  <si>
    <t>Metric Dimensions</t>
  </si>
  <si>
    <t>SAE (Inch) Dimensions</t>
  </si>
  <si>
    <t>Main Journal Dimensions</t>
  </si>
  <si>
    <t>Main Journal Variance</t>
  </si>
  <si>
    <t>Bed plate + Bearing Dimensions</t>
  </si>
  <si>
    <t>Bed Plate + Bearing Variance</t>
  </si>
  <si>
    <t>Nominal Main Bearing Clearance</t>
  </si>
  <si>
    <t>Bearing Clearance Variance</t>
  </si>
  <si>
    <t>Crankshaft Rod Journals</t>
  </si>
  <si>
    <t>Rod Journal Dimensions</t>
  </si>
  <si>
    <t>Rod Journal Variance</t>
  </si>
  <si>
    <t>Rod Journal Tolerance</t>
  </si>
  <si>
    <t>Connecting Rod Dimensions</t>
  </si>
  <si>
    <t>Rod L.E. Bushing Dimensions</t>
  </si>
  <si>
    <t>Rod B.E. Bore Dimensions</t>
  </si>
  <si>
    <t>Rod B.E. Variance</t>
  </si>
  <si>
    <t>Rod B.E. Tolerance</t>
  </si>
  <si>
    <t>Rod B.E. Thickness</t>
  </si>
  <si>
    <t>Bearing Dimensions (088/089 Bearings)</t>
  </si>
  <si>
    <t>Nominal Bearing Thickness (Top, Blue)</t>
  </si>
  <si>
    <t>2.0028 mm</t>
  </si>
  <si>
    <t>0.07885 inch</t>
  </si>
  <si>
    <t>Nominal Bearing Thickness (Bottom, Red)</t>
  </si>
  <si>
    <t>1.9977 mm</t>
  </si>
  <si>
    <t>0.07865 inch</t>
  </si>
  <si>
    <t>Bearing Thickness Variance (Top, Blue)</t>
  </si>
  <si>
    <t>2.0015 - 2.0041 mm</t>
  </si>
  <si>
    <t>0.07880 - 0.07890 inch</t>
  </si>
  <si>
    <t>Bearing Thickness Variance (Bottom, Red)</t>
  </si>
  <si>
    <t>1.9964 - 2.0015 mm</t>
  </si>
  <si>
    <t>0.07860 - 0.07880 inch</t>
  </si>
  <si>
    <t>Bearing Tolerance (Top, Blue)</t>
  </si>
  <si>
    <t>-0.0013, +0.0013 mm</t>
  </si>
  <si>
    <t>-0.00005, +0.00005 inch</t>
  </si>
  <si>
    <t>Bearing Tolerance (Bottom, Red)</t>
  </si>
  <si>
    <t>-0.0013, +0.0038 mm</t>
  </si>
  <si>
    <t>-0.00005, +0.00015 inch</t>
  </si>
  <si>
    <t>Con Rod Clearance (088/089 Bearings) (1)</t>
  </si>
  <si>
    <t>Rod + Bearing Dimensions</t>
  </si>
  <si>
    <t>52.0180 mm</t>
  </si>
  <si>
    <t>2.04795 inch</t>
  </si>
  <si>
    <t>Rod + Bearing Variance (1)</t>
  </si>
  <si>
    <t>52.0141 - 52.0281 mm</t>
  </si>
  <si>
    <t>2.04780 - 2.04835 inch</t>
  </si>
  <si>
    <t>Nominal Rod Bearing Clearance</t>
  </si>
  <si>
    <t>0.0357 mm</t>
  </si>
  <si>
    <t>0.00140 inch</t>
  </si>
  <si>
    <t>Bearing Clearance Variance (1)</t>
  </si>
  <si>
    <t>0.0305 - 0.0470 mm</t>
  </si>
  <si>
    <t>0.00120 - 00185 inch</t>
  </si>
  <si>
    <t>Bearing Clearance Tolerance</t>
  </si>
  <si>
    <t>-0.0051 - +0.0114 mm</t>
  </si>
  <si>
    <t>-0.00020, +0.00045 inch</t>
  </si>
  <si>
    <t>Bearing Clearance per Journal inch</t>
  </si>
  <si>
    <t>0.00068 inch/inch</t>
  </si>
  <si>
    <t>Bearing Clearance per Journal Inch Variance (1)</t>
  </si>
  <si>
    <t>0.00059 - 0.00090 inch/inch</t>
  </si>
  <si>
    <t>Bearing Eccentricity</t>
  </si>
  <si>
    <t>0.0203 mm</t>
  </si>
  <si>
    <t>0.00080 inch</t>
  </si>
  <si>
    <t>Bearing Eccentricity Variance</t>
  </si>
  <si>
    <t>0.0178 - 0.0216 mm</t>
  </si>
  <si>
    <t>0.00070 - 0.00085 inch</t>
  </si>
  <si>
    <t>Bearing Eccentricity Tolerance</t>
  </si>
  <si>
    <t>-0.0038, +0.0013 mm</t>
  </si>
  <si>
    <t>-0.00015, +0.00005 inch</t>
  </si>
  <si>
    <t>Bearing Dimensions (702/703 Bearings)</t>
  </si>
  <si>
    <t>1.9939 mm</t>
  </si>
  <si>
    <t>0.07850 inch</t>
  </si>
  <si>
    <t>1.9977 - 1.9990 mm</t>
  </si>
  <si>
    <t>0.07865 - 0.07870 inch</t>
  </si>
  <si>
    <t>1.9939 - 1.9952 mm</t>
  </si>
  <si>
    <t>0.07850 - 0.07855 inch</t>
  </si>
  <si>
    <t>-0.0000, +0.0013 mm</t>
  </si>
  <si>
    <t>-0.00000, +0.00005 inch</t>
  </si>
  <si>
    <t>Con Rod Clearance (702/703 Bearings)</t>
  </si>
  <si>
    <t>52.0243 mm</t>
  </si>
  <si>
    <t>2.04820 inch</t>
  </si>
  <si>
    <t>Rod + Bearing Variance</t>
  </si>
  <si>
    <t>52.0230 - 52.0294mm</t>
  </si>
  <si>
    <t>2.04815 - 2.04840 inch</t>
  </si>
  <si>
    <t>0.0419 mm</t>
  </si>
  <si>
    <t>0.00165 inch</t>
  </si>
  <si>
    <t>0.0394 - 0.0483 mm</t>
  </si>
  <si>
    <t>0.00155 - 0.00190 inch</t>
  </si>
  <si>
    <t>-0.0025 - +0.0064 mm</t>
  </si>
  <si>
    <t>-.00010 - 0.00025 inch</t>
  </si>
  <si>
    <t>0.00081 inch/inch</t>
  </si>
  <si>
    <t>Bearing Clearance per Journal Inch Variance</t>
  </si>
  <si>
    <t>0.00076 - 0.00093 inch/inch</t>
  </si>
  <si>
    <t>0.0508 mm</t>
  </si>
  <si>
    <t>0.00200 inch</t>
  </si>
  <si>
    <t>0.0445 - 0.0584 mm</t>
  </si>
  <si>
    <t>0.00175 - 0.00230 inch</t>
  </si>
  <si>
    <t>-0.0064, +0.0076 mm</t>
  </si>
  <si>
    <t>-0.00025, +0.00030 inch</t>
  </si>
  <si>
    <t>Rod Bearing Alternatives</t>
  </si>
  <si>
    <t>VAC (Calico) Coated Rod Bearings (2)</t>
  </si>
  <si>
    <t>WPC Treated Rod Bearings (3)</t>
  </si>
  <si>
    <t>Notes:</t>
  </si>
  <si>
    <t>Crankshaft History</t>
  </si>
  <si>
    <t>BMW Part Number</t>
  </si>
  <si>
    <t>Description</t>
  </si>
  <si>
    <t>Weight</t>
  </si>
  <si>
    <t>Kgs</t>
  </si>
  <si>
    <t>Application</t>
  </si>
  <si>
    <t>Prod. Start</t>
  </si>
  <si>
    <t>Prod. End</t>
  </si>
  <si>
    <t>Superceded By</t>
  </si>
  <si>
    <t>11 21 0 390 426</t>
  </si>
  <si>
    <t>Crankshaft with Bearings</t>
  </si>
  <si>
    <t>41.8 lb</t>
  </si>
  <si>
    <t>19.0 kg</t>
  </si>
  <si>
    <t>S85B50</t>
  </si>
  <si>
    <t>11 21 0 390 427</t>
  </si>
  <si>
    <t>11 21 7 841 660</t>
  </si>
  <si>
    <t>43.9 lb</t>
  </si>
  <si>
    <t>19.9 kg</t>
  </si>
  <si>
    <t>11 21 0 443 602</t>
  </si>
  <si>
    <t>41.0 lb</t>
  </si>
  <si>
    <t>18.6 kg</t>
  </si>
  <si>
    <t>Present</t>
  </si>
  <si>
    <t>11 21 7 841 641</t>
  </si>
  <si>
    <t>11 21 7 841 658</t>
  </si>
  <si>
    <t>45.0 lb</t>
  </si>
  <si>
    <t>20.4 kg</t>
  </si>
  <si>
    <t>11 21 0 443 639</t>
  </si>
  <si>
    <t>Main Bearing History</t>
  </si>
  <si>
    <t>Location</t>
  </si>
  <si>
    <t>Color</t>
  </si>
  <si>
    <t>Standard Size Bearings</t>
  </si>
  <si>
    <t>11 21 7 836 532</t>
  </si>
  <si>
    <t>Main Bearing Shell</t>
  </si>
  <si>
    <t>Top</t>
  </si>
  <si>
    <t>Green</t>
  </si>
  <si>
    <t>60.00 mm (+0.00 mm)</t>
  </si>
  <si>
    <t>11 21 7 841 489</t>
  </si>
  <si>
    <t>11 21 7 836 517</t>
  </si>
  <si>
    <t>Main Guide Bearing Shell</t>
  </si>
  <si>
    <t>11 21 7 841 499</t>
  </si>
  <si>
    <t>11 21 7 836 539</t>
  </si>
  <si>
    <t>Bottom</t>
  </si>
  <si>
    <t>11 21 7 841 484</t>
  </si>
  <si>
    <t>11 21 7 836 524</t>
  </si>
  <si>
    <t>11 21 7 841 494</t>
  </si>
  <si>
    <t>S85B50, S65B40, S65B44</t>
  </si>
  <si>
    <t>11 21 7 841 610</t>
  </si>
  <si>
    <t>11 21 7 841 618</t>
  </si>
  <si>
    <t>11 21 7 841 606</t>
  </si>
  <si>
    <t>11 21 7 841 614</t>
  </si>
  <si>
    <t>Oversize Bearings</t>
  </si>
  <si>
    <t>R1</t>
  </si>
  <si>
    <t>R2</t>
  </si>
  <si>
    <t>R3</t>
  </si>
  <si>
    <t>R4</t>
  </si>
  <si>
    <t>R5</t>
  </si>
  <si>
    <t>R6</t>
  </si>
  <si>
    <t>R7</t>
  </si>
  <si>
    <t>R8</t>
  </si>
  <si>
    <t>Max</t>
  </si>
  <si>
    <t>Official</t>
  </si>
  <si>
    <t>Min Dev.</t>
  </si>
  <si>
    <t>Max Dev.</t>
  </si>
  <si>
    <t>Cyl-1</t>
  </si>
  <si>
    <t>Cyl-2</t>
  </si>
  <si>
    <t>Cyl-3</t>
  </si>
  <si>
    <t>Cyl-4</t>
  </si>
  <si>
    <t>Cyl-5</t>
  </si>
  <si>
    <t>Cyl-6</t>
  </si>
  <si>
    <t>Cyl-7</t>
  </si>
  <si>
    <t>Cyl-8</t>
  </si>
  <si>
    <t>Min</t>
  </si>
  <si>
    <t>Crank-1, Rod Journals</t>
  </si>
  <si>
    <t>Crank-1, Rod/Bearing Bore</t>
  </si>
  <si>
    <t>Crank-1 Bearing Clearance</t>
  </si>
  <si>
    <t>Engine-1</t>
  </si>
  <si>
    <t>Engine-2</t>
  </si>
  <si>
    <t>Engine-3</t>
  </si>
  <si>
    <t>Engine-4</t>
  </si>
  <si>
    <t>Engine-5</t>
  </si>
  <si>
    <t>Engine-6</t>
  </si>
  <si>
    <t>Engine-7</t>
  </si>
  <si>
    <t>Engine-8</t>
  </si>
  <si>
    <t>Engine-9</t>
  </si>
  <si>
    <t>Engine-10</t>
  </si>
  <si>
    <t>Engine-11</t>
  </si>
  <si>
    <t>Engine-12</t>
  </si>
  <si>
    <t>Connecting Rod Bearing History</t>
  </si>
  <si>
    <t>11 24 7 835 662</t>
  </si>
  <si>
    <t>Connecting Rod Bearing</t>
  </si>
  <si>
    <t>Red</t>
  </si>
  <si>
    <t>52.00 mm (+0.00 mm)</t>
  </si>
  <si>
    <t>11 24 7 836 288</t>
  </si>
  <si>
    <t>11 24 7 835 663</t>
  </si>
  <si>
    <t>Blue</t>
  </si>
  <si>
    <t>11 24 7 836 289</t>
  </si>
  <si>
    <t>11 24 7 838 088</t>
  </si>
  <si>
    <t>11 24 7 838 089</t>
  </si>
  <si>
    <t>11 24 7 841 702</t>
  </si>
  <si>
    <t>11 24 7 841 703</t>
  </si>
  <si>
    <t>11 24 7 835 974</t>
  </si>
  <si>
    <t>51.75 mm (+0.25 mm)</t>
  </si>
  <si>
    <t>11 24 7 836 290</t>
  </si>
  <si>
    <t>11 24 7 835 975</t>
  </si>
  <si>
    <t>11 24 7 836 291</t>
  </si>
  <si>
    <t>11 24 7 838 090</t>
  </si>
  <si>
    <t>11 24 7 838 091</t>
  </si>
  <si>
    <t>J-Size</t>
  </si>
  <si>
    <t>Deviations</t>
  </si>
  <si>
    <t>Rounded up</t>
  </si>
  <si>
    <t>Raw</t>
  </si>
  <si>
    <t>703 (Blue)</t>
  </si>
  <si>
    <t>702 (Red)</t>
  </si>
  <si>
    <t>089 (Blue)</t>
  </si>
  <si>
    <t>088 (Red)</t>
  </si>
  <si>
    <t>Degrees</t>
  </si>
  <si>
    <t>702/703</t>
  </si>
  <si>
    <t>Ambient</t>
  </si>
  <si>
    <t>Rod Temp</t>
  </si>
  <si>
    <t>Clearance</t>
  </si>
  <si>
    <t>Min Clearance</t>
  </si>
  <si>
    <t>Max Clearance</t>
  </si>
  <si>
    <t>088/089</t>
  </si>
  <si>
    <t>Crank-1</t>
  </si>
  <si>
    <t>Crank-2</t>
  </si>
  <si>
    <t>Main-1</t>
  </si>
  <si>
    <t>Main-2</t>
  </si>
  <si>
    <t>Main-4</t>
  </si>
  <si>
    <t>Main-5</t>
  </si>
  <si>
    <t>Main-3</t>
  </si>
  <si>
    <t>Bearing-1</t>
  </si>
  <si>
    <t>Bearing-2</t>
  </si>
  <si>
    <t>Bearing-3</t>
  </si>
  <si>
    <t>Bearing-4</t>
  </si>
  <si>
    <t>Bearing-5</t>
  </si>
  <si>
    <t>Clear-1</t>
  </si>
  <si>
    <t>Clear-2</t>
  </si>
  <si>
    <t>Clear-3</t>
  </si>
  <si>
    <t>Clear-4</t>
  </si>
  <si>
    <t>Clear-5</t>
  </si>
  <si>
    <t>Main</t>
  </si>
  <si>
    <t>Bearing</t>
  </si>
  <si>
    <t>Nominal</t>
  </si>
  <si>
    <t>Main Journal Tolerance</t>
  </si>
  <si>
    <t>1-4</t>
  </si>
  <si>
    <t>Tickness</t>
  </si>
  <si>
    <t>Eccentricity</t>
  </si>
  <si>
    <t>WPC</t>
  </si>
  <si>
    <t>Calico</t>
  </si>
  <si>
    <t>Journal</t>
  </si>
  <si>
    <t>Official Clearance</t>
  </si>
  <si>
    <t>CLR-1</t>
  </si>
  <si>
    <t>CLR-2</t>
  </si>
  <si>
    <t>CLR-3</t>
  </si>
  <si>
    <t>CLR-4</t>
  </si>
  <si>
    <t>CLR-5</t>
  </si>
  <si>
    <t>CLR-6</t>
  </si>
  <si>
    <t>CLR-7</t>
  </si>
  <si>
    <t>CLR-8</t>
  </si>
  <si>
    <t>VAC / Clevite</t>
  </si>
  <si>
    <t>Instructions:  Measure rod B.E. bore with 2.2 inch pin and middle size shim.  Put measurements in "raw measurements" section.  Adjusted measurements will automatically be calculated.</t>
  </si>
  <si>
    <t>2.2 inch pin</t>
  </si>
  <si>
    <t>2.0 inch pin</t>
  </si>
  <si>
    <t>MIN</t>
  </si>
  <si>
    <t>Rod L.E.</t>
  </si>
  <si>
    <t>Rod B.E.</t>
  </si>
  <si>
    <t>Rod Thickness</t>
  </si>
  <si>
    <t>Carrillo Rod L.E.</t>
  </si>
  <si>
    <t>Carrillo Rod B.E.</t>
  </si>
  <si>
    <t>Carrillo Thkness</t>
  </si>
  <si>
    <t>Rod Jouranl Dimensions</t>
  </si>
  <si>
    <t>BE-01</t>
  </si>
  <si>
    <t>BE-02</t>
  </si>
  <si>
    <t>BE-03</t>
  </si>
  <si>
    <t>BE-04</t>
  </si>
  <si>
    <t>BE-05</t>
  </si>
  <si>
    <t>BE-06</t>
  </si>
  <si>
    <t>BE-07</t>
  </si>
  <si>
    <t>BE-08</t>
  </si>
  <si>
    <t>BE-09</t>
  </si>
  <si>
    <t>BE-10</t>
  </si>
  <si>
    <t>AdjBE-01</t>
  </si>
  <si>
    <t>AdjBE-02</t>
  </si>
  <si>
    <t>AdjBE-03</t>
  </si>
  <si>
    <t>AdjBE-04</t>
  </si>
  <si>
    <t>AdjBE-05</t>
  </si>
  <si>
    <t>AdjBE-06</t>
  </si>
  <si>
    <t>AdjBE-07</t>
  </si>
  <si>
    <t>AdjBE-08</t>
  </si>
  <si>
    <t>AdjBE-09</t>
  </si>
  <si>
    <t>AdjBE-10</t>
  </si>
  <si>
    <t>Wid-01</t>
  </si>
  <si>
    <t>Wid-02</t>
  </si>
  <si>
    <t>Wid-03</t>
  </si>
  <si>
    <t>Wid-04</t>
  </si>
  <si>
    <t>Wid-05</t>
  </si>
  <si>
    <t>Wid-06</t>
  </si>
  <si>
    <t>Wid-07</t>
  </si>
  <si>
    <t>Wid-08</t>
  </si>
  <si>
    <t>Wid-09</t>
  </si>
  <si>
    <t>Wid-10</t>
  </si>
  <si>
    <t>LE-01</t>
  </si>
  <si>
    <t>LE-02</t>
  </si>
  <si>
    <t>LE-03</t>
  </si>
  <si>
    <t>LE-04</t>
  </si>
  <si>
    <t>LE-05</t>
  </si>
  <si>
    <t>LE-06</t>
  </si>
  <si>
    <t>LE-07</t>
  </si>
  <si>
    <t>LE-08</t>
  </si>
  <si>
    <t>LE-09</t>
  </si>
  <si>
    <t>LE-10</t>
  </si>
  <si>
    <t>Carrillo-1</t>
  </si>
  <si>
    <t>Carrillo-2</t>
  </si>
  <si>
    <t>Carrillo-3</t>
  </si>
  <si>
    <t>Carrillo-4</t>
  </si>
  <si>
    <t>Carrillo-5</t>
  </si>
  <si>
    <t>Carrillo-6</t>
  </si>
  <si>
    <t>Carrillo-7</t>
  </si>
  <si>
    <t>Carrillo-8</t>
  </si>
  <si>
    <t>Carrillo-9</t>
  </si>
  <si>
    <t>Carrillo-10</t>
  </si>
  <si>
    <t>Carrillo-11</t>
  </si>
  <si>
    <t>Carrillo-12</t>
  </si>
  <si>
    <t>VAC (Clevite) Custom Rod Bearings (4)</t>
  </si>
  <si>
    <t>(1) Roll-up of measurements taken from all cranks, all journals, and all OEM bearings.</t>
  </si>
  <si>
    <t>(2) Full set of virgin Calico coated bearings measured in rods, and rolled-up with measurements from all cranks and all journals.</t>
  </si>
  <si>
    <t>(3) Full set of virgin WPC treated bearings measured in rods, and rolled-up with measurements from all cranks and all journals.</t>
  </si>
  <si>
    <t>(4) Full set of virgin VAC / Clevite / Calico coated bearings measured in rods, and rolled-up with measurements from all cranks and all journals.</t>
  </si>
  <si>
    <t>OEM Rod Bolts</t>
  </si>
  <si>
    <t>ARP-2000</t>
  </si>
  <si>
    <t>Robert's original factory rods</t>
  </si>
  <si>
    <t>Remanufactured rods borrowed from Dinan</t>
  </si>
  <si>
    <t>Notes</t>
  </si>
  <si>
    <t>Dan Stockman Rods</t>
  </si>
  <si>
    <t>ARP 625 Bolts</t>
  </si>
  <si>
    <t>ARP 2000 Bolts</t>
  </si>
  <si>
    <t>Clevite Blueprint Clearance</t>
  </si>
  <si>
    <t>BEBearings / Clevite</t>
  </si>
  <si>
    <t>Distribution</t>
  </si>
  <si>
    <t>Total</t>
  </si>
  <si>
    <t>Angle</t>
  </si>
  <si>
    <t>Virgin OEM Rods, Virgin OEM Rod Bolts</t>
  </si>
  <si>
    <t>AVG</t>
  </si>
  <si>
    <t>Delta</t>
  </si>
  <si>
    <t>S85 Bearing Swap</t>
  </si>
  <si>
    <t>QTY</t>
  </si>
  <si>
    <t>BMW Part</t>
  </si>
  <si>
    <t>31 10 6 772 199</t>
  </si>
  <si>
    <t>Reinforcement Plate Bolts </t>
  </si>
  <si>
    <t>31 10 6 779 393</t>
  </si>
  <si>
    <t>31 31 6 769 731</t>
  </si>
  <si>
    <t>32 41 1 093 596</t>
  </si>
  <si>
    <t>Reinforcement Plate Captured Nuts</t>
  </si>
  <si>
    <t>Front Strut upper nuts</t>
  </si>
  <si>
    <t>Steering Rack Supply line crush washers</t>
  </si>
  <si>
    <t>Oil Pan drain plug crush ring</t>
  </si>
  <si>
    <t>Oil Filter Drain Plug O-ring</t>
  </si>
  <si>
    <t>Oil Filter Kit</t>
  </si>
  <si>
    <t>Oil Sensor Seal O-ring</t>
  </si>
  <si>
    <t>07 11 9 963 151</t>
  </si>
  <si>
    <t>11 42 7 563 847</t>
  </si>
  <si>
    <t>11 42 7 840 594</t>
  </si>
  <si>
    <t>12 61 1 174 292</t>
  </si>
  <si>
    <t>11 41 7 836 233</t>
  </si>
  <si>
    <t>11 13 7 836 361</t>
  </si>
  <si>
    <t>11 12 1 304 174</t>
  </si>
  <si>
    <t>11 36 7 834 525</t>
  </si>
  <si>
    <t>11 24 7 834 522</t>
  </si>
  <si>
    <t>Lateral Oil Pump Seal O-rings</t>
  </si>
  <si>
    <t>Oil Pan Gasket</t>
  </si>
  <si>
    <t>Oil Pump Pickup Seal O-Ring</t>
  </si>
  <si>
    <t>VANOS line copper crush rings</t>
  </si>
  <si>
    <t>VANOS supply microfilter</t>
  </si>
  <si>
    <t>Connecting Rod Bolts</t>
  </si>
  <si>
    <t>07 11 9 963 129</t>
  </si>
  <si>
    <t>Virgin OEM Rods, ARP-2000 Rod bolts @ 45 ft/lbs TQ</t>
  </si>
  <si>
    <t>Virgin OEM Rods, ARP-2000 Rod bolts @ 50 ft/lbs TQ</t>
  </si>
  <si>
    <t>Virgin OEM Rods, ARP-625 Rod bolts @ 60 ft/lbs TQ</t>
  </si>
  <si>
    <t>Virgin OEM Rods, ARP-625 Rod bolts @ 55 ft/lbs TQ</t>
  </si>
  <si>
    <t>Virgin OEM Rods, ARP-625 Rod bolts @ 50 ft/lbs TQ</t>
  </si>
  <si>
    <t>BE Bearings (Clevite) Custom Rod Bearings</t>
  </si>
  <si>
    <t>Rod-1</t>
  </si>
  <si>
    <t>Rod-2</t>
  </si>
  <si>
    <t>Rod-3</t>
  </si>
  <si>
    <t>Rod-4</t>
  </si>
  <si>
    <t>Rod-5</t>
  </si>
  <si>
    <t>Rod-6</t>
  </si>
  <si>
    <t>Rod-7</t>
  </si>
  <si>
    <t>Rod-8</t>
  </si>
  <si>
    <t>Bearing Dimensions (BE Bearings Bearings)</t>
  </si>
  <si>
    <t>Nominal Bearing Thickness (Top=Bottom)</t>
  </si>
  <si>
    <t>Bearing Thickness Variance (Top=Bottom)</t>
  </si>
  <si>
    <t>Tolerance</t>
  </si>
  <si>
    <t>Bearing Tolerance (Top=Bottom)</t>
  </si>
  <si>
    <t>Bearing Dimensions (VAC Clevite Bearings)</t>
  </si>
  <si>
    <t>Bearing Dimensions (VAC-Calico Coated Bearings)</t>
  </si>
  <si>
    <t>Bearing Dimensions (WPC Treated Bearings)</t>
  </si>
  <si>
    <t>Virgin OEM Rods, BMW Rod Bolts</t>
  </si>
  <si>
    <t>ReMfg OEM Rods, BMW Rod Bolts</t>
  </si>
  <si>
    <t>Remanufactured OEM Rods, ARP-2000 Rod bolts @ 45 ft/lbs TQ</t>
  </si>
  <si>
    <t>Virgin OEM Rods, Carrillo WMC Rod bolts @ 45 ft/lbs TQ</t>
  </si>
  <si>
    <t>HP</t>
  </si>
  <si>
    <t>TQ</t>
  </si>
  <si>
    <t>RPM</t>
  </si>
  <si>
    <t>Radius</t>
  </si>
  <si>
    <t>Width</t>
  </si>
  <si>
    <t>mm^2</t>
  </si>
  <si>
    <t>hp/mm^2</t>
  </si>
  <si>
    <t>tq/mm^2</t>
  </si>
  <si>
    <t>Ferrari 348 GTB</t>
  </si>
  <si>
    <t>BMW S65B40</t>
  </si>
  <si>
    <t>Lambo Mucialago LP-670</t>
  </si>
  <si>
    <t>Lambo Gallardo LP-570</t>
  </si>
  <si>
    <t>Chevy Duramax 6.6 LML</t>
  </si>
  <si>
    <t>Porsche 997 GT2</t>
  </si>
  <si>
    <t>Chevy Corvette ZR1, 6.2L LS9</t>
  </si>
  <si>
    <t>BMW S54B32</t>
  </si>
  <si>
    <t>Bearing Bore</t>
  </si>
  <si>
    <t>S65 Bearing Swap</t>
  </si>
  <si>
    <t>11 42 7 837 997</t>
  </si>
  <si>
    <t>11 13 7 841 085</t>
  </si>
  <si>
    <t>Virgin OEM Rods, Carrillo WMC Rod bolts @ 50 ft/lbs TQ</t>
  </si>
  <si>
    <t>Lot-1</t>
  </si>
  <si>
    <t>Lot-2</t>
  </si>
  <si>
    <t>Lot-3</t>
  </si>
  <si>
    <t>Bearing Dimensions (BE Bearings Bearings) +0.025MM</t>
  </si>
  <si>
    <t>R9</t>
  </si>
  <si>
    <t>R10</t>
  </si>
  <si>
    <t>ACL Bearings</t>
  </si>
  <si>
    <t>Rod-9</t>
  </si>
  <si>
    <t>Rod-10</t>
  </si>
  <si>
    <t>CLR-9</t>
  </si>
  <si>
    <t>CLR-10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</si>
</sst>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-yy;@"/>
    <numFmt numFmtId="165" formatCode="0.00000"/>
    <numFmt numFmtId="166" formatCode="0.0000"/>
    <numFmt numFmtId="167" formatCode="0.000"/>
  </numFmts>
  <fonts count="11">
    <font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Lucida Grande"/>
    </font>
    <font>
      <sz val="9"/>
      <color rgb="FF000000"/>
      <name val="Lucida Grande"/>
    </font>
  </fonts>
  <fills count="9">
    <fill>
      <patternFill patternType="none"/>
    </fill>
    <fill>
      <patternFill patternType="gray125"/>
    </fill>
    <fill>
      <patternFill patternType="solid">
        <fgColor rgb="FF010101"/>
        <bgColor rgb="FF000000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CCCCCC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</fills>
  <borders count="7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2" fillId="4" borderId="4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6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0" fontId="2" fillId="6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5" borderId="0" xfId="0" applyFont="1" applyFill="1" applyAlignment="1">
      <alignment horizontal="left"/>
    </xf>
    <xf numFmtId="164" fontId="6" fillId="5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165" fontId="2" fillId="0" borderId="0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0" borderId="0" xfId="0" applyNumberFormat="1"/>
    <xf numFmtId="165" fontId="0" fillId="0" borderId="0" xfId="0" applyNumberForma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165" fontId="0" fillId="0" borderId="0" xfId="0" applyNumberForma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0" fillId="8" borderId="0" xfId="0" applyFill="1"/>
    <xf numFmtId="0" fontId="0" fillId="0" borderId="0" xfId="0" applyFill="1"/>
    <xf numFmtId="0" fontId="0" fillId="7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 vertical="top"/>
    </xf>
    <xf numFmtId="165" fontId="0" fillId="0" borderId="0" xfId="0" applyNumberFormat="1" applyBorder="1"/>
    <xf numFmtId="166" fontId="0" fillId="0" borderId="0" xfId="0" applyNumberFormat="1"/>
    <xf numFmtId="165" fontId="8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6" xfId="0" applyFont="1" applyBorder="1"/>
    <xf numFmtId="167" fontId="0" fillId="0" borderId="0" xfId="0" applyNumberForma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101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Slightly Used Rods Big-End Ovality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1"/>
          <c:order val="0"/>
          <c:tx>
            <c:v>OEM Rod Bolts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Bolts'!$Q$116:$X$116,'Connecting Rod Bolts'!$Q$117:$X$117,'Connecting Rod Bolts'!$Q$118:$X$118,'Connecting Rod Bolts'!$Q$119:$X$119,'Connecting Rod Bolts'!$Q$120:$X$120,'Connecting Rod Bolts'!$Q$121:$X$121,'Connecting Rod Bolts'!$Q$122:$X$122)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Bolts'!$Y$100:$AF$100,'Connecting Rod Bolts'!$Y$101:$AF$101,'Connecting Rod Bolts'!$Y$102:$AF$102,'Connecting Rod Bolts'!$Y$103:$AF$103,'Connecting Rod Bolts'!$Y$104:$AF$104,'Connecting Rod Bolts'!$Y$105:$AF$105,'Connecting Rod Bolts'!$Y$106:$AF$106,'Connecting Rod Bolts'!$Y$116:$AF$116,'Connecting Rod Bolts'!$Y$117:$AF$117,'Connecting Rod Bolts'!$Y$118:$AF$118,'Connecting Rod Bolts'!$Y$119:$AF$119,'Connecting Rod Bolts'!$Y$120:$AF$120,'Connecting Rod Bolts'!$Y$121:$AF$121,'Connecting Rod Bolts'!$Y$122:$AF$122)</c:f>
              <c:numCache>
                <c:formatCode>0.00000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7.4999999999825206E-5</c:v>
                </c:pt>
                <c:pt idx="9">
                  <c:v>-1.0000000000021103E-4</c:v>
                </c:pt>
                <c:pt idx="10">
                  <c:v>-4.9999999999883471E-5</c:v>
                </c:pt>
                <c:pt idx="11">
                  <c:v>0</c:v>
                </c:pt>
                <c:pt idx="12">
                  <c:v>4.9999999999883471E-5</c:v>
                </c:pt>
                <c:pt idx="13">
                  <c:v>0</c:v>
                </c:pt>
                <c:pt idx="14">
                  <c:v>-2.5000000000385825E-5</c:v>
                </c:pt>
                <c:pt idx="15">
                  <c:v>0</c:v>
                </c:pt>
                <c:pt idx="16">
                  <c:v>1.2499999999970868E-4</c:v>
                </c:pt>
                <c:pt idx="17">
                  <c:v>-1.500000000000945E-4</c:v>
                </c:pt>
                <c:pt idx="18">
                  <c:v>-4.9999999999883471E-5</c:v>
                </c:pt>
                <c:pt idx="19">
                  <c:v>-1.7499999999959215E-4</c:v>
                </c:pt>
                <c:pt idx="20">
                  <c:v>4.9999999999883471E-5</c:v>
                </c:pt>
                <c:pt idx="21">
                  <c:v>-9.9999999999766942E-5</c:v>
                </c:pt>
                <c:pt idx="22">
                  <c:v>-2.5000000000385825E-5</c:v>
                </c:pt>
                <c:pt idx="23">
                  <c:v>-1.0000000000021103E-4</c:v>
                </c:pt>
                <c:pt idx="24">
                  <c:v>2.2499999999991971E-4</c:v>
                </c:pt>
                <c:pt idx="25">
                  <c:v>-1.9999999999997797E-4</c:v>
                </c:pt>
                <c:pt idx="26">
                  <c:v>-4.9999999999883471E-5</c:v>
                </c:pt>
                <c:pt idx="27">
                  <c:v>-2.4999999999986144E-4</c:v>
                </c:pt>
                <c:pt idx="28">
                  <c:v>1.9999999999997797E-4</c:v>
                </c:pt>
                <c:pt idx="29">
                  <c:v>-1.500000000000945E-4</c:v>
                </c:pt>
                <c:pt idx="30">
                  <c:v>-7.5000000000269296E-5</c:v>
                </c:pt>
                <c:pt idx="31">
                  <c:v>0</c:v>
                </c:pt>
                <c:pt idx="32">
                  <c:v>1.2499999999970868E-4</c:v>
                </c:pt>
                <c:pt idx="33">
                  <c:v>-1.500000000000945E-4</c:v>
                </c:pt>
                <c:pt idx="34">
                  <c:v>-4.9999999999883471E-5</c:v>
                </c:pt>
                <c:pt idx="35">
                  <c:v>-1.7499999999959215E-4</c:v>
                </c:pt>
                <c:pt idx="36">
                  <c:v>4.9999999999883471E-5</c:v>
                </c:pt>
                <c:pt idx="37">
                  <c:v>-9.9999999999766942E-5</c:v>
                </c:pt>
                <c:pt idx="38">
                  <c:v>-2.5000000000385825E-5</c:v>
                </c:pt>
                <c:pt idx="39">
                  <c:v>-1.0000000000021103E-4</c:v>
                </c:pt>
                <c:pt idx="40">
                  <c:v>7.4999999999825206E-5</c:v>
                </c:pt>
                <c:pt idx="41">
                  <c:v>-1.0000000000021103E-4</c:v>
                </c:pt>
                <c:pt idx="42">
                  <c:v>-4.9999999999883471E-5</c:v>
                </c:pt>
                <c:pt idx="43">
                  <c:v>0</c:v>
                </c:pt>
                <c:pt idx="44">
                  <c:v>4.9999999999883471E-5</c:v>
                </c:pt>
                <c:pt idx="45">
                  <c:v>0</c:v>
                </c:pt>
                <c:pt idx="46">
                  <c:v>-2.5000000000385825E-5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3.4999999999962839E-4</c:v>
                </c:pt>
                <c:pt idx="65">
                  <c:v>1.9999999999997797E-4</c:v>
                </c:pt>
                <c:pt idx="66">
                  <c:v>2.7499999999980318E-4</c:v>
                </c:pt>
                <c:pt idx="67">
                  <c:v>3.2500000000013074E-4</c:v>
                </c:pt>
                <c:pt idx="68">
                  <c:v>2.7499999999980318E-4</c:v>
                </c:pt>
                <c:pt idx="69">
                  <c:v>3.4999999999962839E-4</c:v>
                </c:pt>
                <c:pt idx="70">
                  <c:v>3.9999999999995595E-4</c:v>
                </c:pt>
                <c:pt idx="71">
                  <c:v>2.2499999999991971E-4</c:v>
                </c:pt>
                <c:pt idx="72">
                  <c:v>9.0000000000012292E-4</c:v>
                </c:pt>
                <c:pt idx="73">
                  <c:v>3.7500000000001421E-4</c:v>
                </c:pt>
                <c:pt idx="74">
                  <c:v>6.2499999999987566E-4</c:v>
                </c:pt>
                <c:pt idx="75">
                  <c:v>8.7500000000018119E-4</c:v>
                </c:pt>
                <c:pt idx="76">
                  <c:v>5.9999999999993392E-4</c:v>
                </c:pt>
                <c:pt idx="77">
                  <c:v>6.7499999999975913E-4</c:v>
                </c:pt>
                <c:pt idx="78">
                  <c:v>7.249999999996426E-4</c:v>
                </c:pt>
                <c:pt idx="79">
                  <c:v>5.0000000000016698E-4</c:v>
                </c:pt>
                <c:pt idx="80">
                  <c:v>1.1999999999998678E-3</c:v>
                </c:pt>
                <c:pt idx="81">
                  <c:v>5.9999999999993392E-4</c:v>
                </c:pt>
                <c:pt idx="82">
                  <c:v>8.749999999997371E-4</c:v>
                </c:pt>
                <c:pt idx="83">
                  <c:v>1.0750000000001592E-3</c:v>
                </c:pt>
                <c:pt idx="84">
                  <c:v>9.5000000000000639E-4</c:v>
                </c:pt>
                <c:pt idx="85">
                  <c:v>9.7499999999994813E-4</c:v>
                </c:pt>
                <c:pt idx="86">
                  <c:v>1.0249999999998316E-3</c:v>
                </c:pt>
                <c:pt idx="87">
                  <c:v>7.2500000000008669E-4</c:v>
                </c:pt>
                <c:pt idx="88">
                  <c:v>9.0000000000012292E-4</c:v>
                </c:pt>
                <c:pt idx="89">
                  <c:v>3.7500000000001421E-4</c:v>
                </c:pt>
                <c:pt idx="90">
                  <c:v>6.2499999999987566E-4</c:v>
                </c:pt>
                <c:pt idx="91">
                  <c:v>8.7500000000018119E-4</c:v>
                </c:pt>
                <c:pt idx="92">
                  <c:v>5.9999999999993392E-4</c:v>
                </c:pt>
                <c:pt idx="93">
                  <c:v>6.7499999999975913E-4</c:v>
                </c:pt>
                <c:pt idx="94">
                  <c:v>7.249999999996426E-4</c:v>
                </c:pt>
                <c:pt idx="95">
                  <c:v>5.0000000000016698E-4</c:v>
                </c:pt>
                <c:pt idx="96">
                  <c:v>3.4999999999962839E-4</c:v>
                </c:pt>
                <c:pt idx="97">
                  <c:v>1.9999999999997797E-4</c:v>
                </c:pt>
                <c:pt idx="98">
                  <c:v>2.7499999999980318E-4</c:v>
                </c:pt>
                <c:pt idx="99">
                  <c:v>3.2500000000013074E-4</c:v>
                </c:pt>
                <c:pt idx="100">
                  <c:v>2.7499999999980318E-4</c:v>
                </c:pt>
                <c:pt idx="101">
                  <c:v>3.4999999999962839E-4</c:v>
                </c:pt>
                <c:pt idx="102">
                  <c:v>3.9999999999995595E-4</c:v>
                </c:pt>
                <c:pt idx="103">
                  <c:v>2.2499999999991971E-4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ARP-2000 Bolts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Bolts'!$Q$160:$X$160,'Connecting Rod Bolts'!$Q$161:$X$161,'Connecting Rod Bolts'!$Q$162:$X$162,'Connecting Rod Bolts'!$Q$163:$X$163,'Connecting Rod Bolts'!$Q$164:$X$164,'Connecting Rod Bolts'!$Q$165:$X$165,'Connecting Rod Bolts'!$Q$166:$X$166)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Bolts'!$Y$160:$AF$160,'Connecting Rod Bolts'!$Y$161:$AF$161,'Connecting Rod Bolts'!$Y$162:$AF$162,'Connecting Rod Bolts'!$Y$163:$AF$163,'Connecting Rod Bolts'!$Y$164:$AF$164,'Connecting Rod Bolts'!$Y$165:$AF$165,'Connecting Rod Bolts'!$Y$166:$AF$166)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3.9999999999995595E-4</c:v>
                </c:pt>
                <c:pt idx="9">
                  <c:v>1.4999999999965041E-4</c:v>
                </c:pt>
                <c:pt idx="10">
                  <c:v>2.4999999999986144E-4</c:v>
                </c:pt>
                <c:pt idx="11">
                  <c:v>3.5000000000007248E-4</c:v>
                </c:pt>
                <c:pt idx="12">
                  <c:v>1.4999999999965041E-4</c:v>
                </c:pt>
                <c:pt idx="13">
                  <c:v>1.4999999999965041E-4</c:v>
                </c:pt>
                <c:pt idx="14">
                  <c:v>1.9999999999997797E-4</c:v>
                </c:pt>
                <c:pt idx="15">
                  <c:v>2.2499999999991971E-4</c:v>
                </c:pt>
                <c:pt idx="16">
                  <c:v>6.7500000000020322E-4</c:v>
                </c:pt>
                <c:pt idx="17">
                  <c:v>4.2499999999989768E-4</c:v>
                </c:pt>
                <c:pt idx="18">
                  <c:v>5.7499999999999218E-4</c:v>
                </c:pt>
                <c:pt idx="19">
                  <c:v>6.2500000000031974E-4</c:v>
                </c:pt>
                <c:pt idx="20">
                  <c:v>1.9999999999953388E-4</c:v>
                </c:pt>
                <c:pt idx="21">
                  <c:v>2.2499999999947562E-4</c:v>
                </c:pt>
                <c:pt idx="22">
                  <c:v>3.9999999999995595E-4</c:v>
                </c:pt>
                <c:pt idx="23">
                  <c:v>3.2499999999968665E-4</c:v>
                </c:pt>
                <c:pt idx="24">
                  <c:v>7.9999999999991189E-4</c:v>
                </c:pt>
                <c:pt idx="25">
                  <c:v>3.4999999999962839E-4</c:v>
                </c:pt>
                <c:pt idx="26">
                  <c:v>7.5000000000002842E-4</c:v>
                </c:pt>
                <c:pt idx="27">
                  <c:v>8.4999999999979536E-4</c:v>
                </c:pt>
                <c:pt idx="28">
                  <c:v>2.9999999999974492E-4</c:v>
                </c:pt>
                <c:pt idx="29">
                  <c:v>3.4999999999962839E-4</c:v>
                </c:pt>
                <c:pt idx="30">
                  <c:v>5.9999999999993392E-4</c:v>
                </c:pt>
                <c:pt idx="31">
                  <c:v>3.7500000000001421E-4</c:v>
                </c:pt>
                <c:pt idx="32">
                  <c:v>6.7500000000020322E-4</c:v>
                </c:pt>
                <c:pt idx="33">
                  <c:v>4.2499999999989768E-4</c:v>
                </c:pt>
                <c:pt idx="34">
                  <c:v>5.7499999999999218E-4</c:v>
                </c:pt>
                <c:pt idx="35">
                  <c:v>6.2500000000031974E-4</c:v>
                </c:pt>
                <c:pt idx="36">
                  <c:v>1.9999999999953388E-4</c:v>
                </c:pt>
                <c:pt idx="37">
                  <c:v>2.2499999999947562E-4</c:v>
                </c:pt>
                <c:pt idx="38">
                  <c:v>3.9999999999995595E-4</c:v>
                </c:pt>
                <c:pt idx="39">
                  <c:v>3.2499999999968665E-4</c:v>
                </c:pt>
                <c:pt idx="40">
                  <c:v>3.9999999999995595E-4</c:v>
                </c:pt>
                <c:pt idx="41">
                  <c:v>1.4999999999965041E-4</c:v>
                </c:pt>
                <c:pt idx="42">
                  <c:v>2.4999999999986144E-4</c:v>
                </c:pt>
                <c:pt idx="43">
                  <c:v>3.5000000000007248E-4</c:v>
                </c:pt>
                <c:pt idx="44">
                  <c:v>1.4999999999965041E-4</c:v>
                </c:pt>
                <c:pt idx="45">
                  <c:v>1.4999999999965041E-4</c:v>
                </c:pt>
                <c:pt idx="46">
                  <c:v>1.9999999999997797E-4</c:v>
                </c:pt>
                <c:pt idx="47">
                  <c:v>2.2499999999991971E-4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ARP 625 Bolts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Bolts'!$Q$145:$X$145,'Connecting Rod Bolts'!$Q$146:$X$146,'Connecting Rod Bolts'!$Q$147:$X$147,'Connecting Rod Bolts'!$Q$148:$X$148,'Connecting Rod Bolts'!$Q$149:$X$149,'Connecting Rod Bolts'!$Q$150:$X$150,'Connecting Rod Bolts'!$Q$151:$X$151)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Bolts'!$Y$145:$AF$145,'Connecting Rod Bolts'!$Y$146:$AF$146,'Connecting Rod Bolts'!$Y$147:$AF$147,'Connecting Rod Bolts'!$Y$148:$AF$148,'Connecting Rod Bolts'!$Y$149:$AF$149,'Connecting Rod Bolts'!$Y$150:$AF$150,'Connecting Rod Bolts'!$Y$151:$AF$151)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9.9999999999766942E-5</c:v>
                </c:pt>
                <c:pt idx="9">
                  <c:v>-1.2499999999970868E-4</c:v>
                </c:pt>
                <c:pt idx="10">
                  <c:v>0</c:v>
                </c:pt>
                <c:pt idx="11">
                  <c:v>9.9999999999766942E-5</c:v>
                </c:pt>
                <c:pt idx="12">
                  <c:v>-4.9999999999883471E-5</c:v>
                </c:pt>
                <c:pt idx="13">
                  <c:v>-1.7500000000003624E-4</c:v>
                </c:pt>
                <c:pt idx="14">
                  <c:v>2.4999999999941735E-5</c:v>
                </c:pt>
                <c:pt idx="15">
                  <c:v>-1.2499999999970868E-4</c:v>
                </c:pt>
                <c:pt idx="16">
                  <c:v>4.9999999999883471E-5</c:v>
                </c:pt>
                <c:pt idx="17">
                  <c:v>-9.9999999999766942E-5</c:v>
                </c:pt>
                <c:pt idx="18">
                  <c:v>4.9999999999883471E-5</c:v>
                </c:pt>
                <c:pt idx="19">
                  <c:v>1.7499999999959215E-4</c:v>
                </c:pt>
                <c:pt idx="20">
                  <c:v>-1.500000000000945E-4</c:v>
                </c:pt>
                <c:pt idx="21">
                  <c:v>-4.7500000000022524E-4</c:v>
                </c:pt>
                <c:pt idx="22">
                  <c:v>-4.9999999999883471E-5</c:v>
                </c:pt>
                <c:pt idx="23">
                  <c:v>-2.2499999999991971E-4</c:v>
                </c:pt>
                <c:pt idx="24">
                  <c:v>9.9999999999766942E-5</c:v>
                </c:pt>
                <c:pt idx="25">
                  <c:v>-9.9999999999766942E-5</c:v>
                </c:pt>
                <c:pt idx="26">
                  <c:v>9.9999999999766942E-5</c:v>
                </c:pt>
                <c:pt idx="27">
                  <c:v>2.9999999999974492E-4</c:v>
                </c:pt>
                <c:pt idx="28">
                  <c:v>0</c:v>
                </c:pt>
                <c:pt idx="29">
                  <c:v>-3.2500000000013074E-4</c:v>
                </c:pt>
                <c:pt idx="30">
                  <c:v>4.9999999999883471E-5</c:v>
                </c:pt>
                <c:pt idx="31">
                  <c:v>-2.7499999999980318E-4</c:v>
                </c:pt>
                <c:pt idx="32">
                  <c:v>4.9999999999883471E-5</c:v>
                </c:pt>
                <c:pt idx="33">
                  <c:v>-9.9999999999766942E-5</c:v>
                </c:pt>
                <c:pt idx="34">
                  <c:v>4.9999999999883471E-5</c:v>
                </c:pt>
                <c:pt idx="35">
                  <c:v>1.7499999999959215E-4</c:v>
                </c:pt>
                <c:pt idx="36">
                  <c:v>-1.500000000000945E-4</c:v>
                </c:pt>
                <c:pt idx="37">
                  <c:v>-4.7500000000022524E-4</c:v>
                </c:pt>
                <c:pt idx="38">
                  <c:v>-4.9999999999883471E-5</c:v>
                </c:pt>
                <c:pt idx="39">
                  <c:v>-2.2499999999991971E-4</c:v>
                </c:pt>
                <c:pt idx="40">
                  <c:v>9.9999999999766942E-5</c:v>
                </c:pt>
                <c:pt idx="41">
                  <c:v>-1.2499999999970868E-4</c:v>
                </c:pt>
                <c:pt idx="42">
                  <c:v>0</c:v>
                </c:pt>
                <c:pt idx="43">
                  <c:v>9.9999999999766942E-5</c:v>
                </c:pt>
                <c:pt idx="44">
                  <c:v>-4.9999999999883471E-5</c:v>
                </c:pt>
                <c:pt idx="45">
                  <c:v>-1.7500000000003624E-4</c:v>
                </c:pt>
                <c:pt idx="46">
                  <c:v>2.4999999999941735E-5</c:v>
                </c:pt>
                <c:pt idx="47">
                  <c:v>-1.2499999999970868E-4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002816"/>
        <c:axId val="701003392"/>
      </c:scatterChart>
      <c:valAx>
        <c:axId val="701002816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01003392"/>
        <c:crossesAt val="0"/>
        <c:crossBetween val="midCat"/>
        <c:majorUnit val="22.5"/>
      </c:valAx>
      <c:valAx>
        <c:axId val="701003392"/>
        <c:scaling>
          <c:orientation val="minMax"/>
          <c:max val="1.2000000000000003E-3"/>
          <c:min val="-2.0000000000000006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1002816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 OEM Rod Big-End with OEM Bolts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20832"/>
        <c:axId val="697721408"/>
      </c:scatterChart>
      <c:valAx>
        <c:axId val="697720832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721408"/>
        <c:crossesAt val="0"/>
        <c:crossBetween val="midCat"/>
        <c:majorUnit val="22.5"/>
      </c:valAx>
      <c:valAx>
        <c:axId val="697721408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720832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 ReMfg Rod Big-End with OEM Bolts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ReMfg 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Bolts'!$Q$15:$X$15,'OEM Rod Bolts'!$Q$16:$X$16,'OEM Rod Bolts'!$Q$17:$X$17,'OEM Rod Bolts'!$Q$18:$X$18,'OEM Rod Bolts'!$Q$19:$X$19,'OEM Rod Bolts'!$Q$20:$X$20,'OEM Rod Bolts'!$Q$21:$X$21)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Bolts'!$Y$15:$AF$15,'OEM Rod Bolts'!$Y$16:$AF$16,'OEM Rod Bolts'!$Y$17:$AF$17,'OEM Rod Bolts'!$Y$18:$AF$18,'OEM Rod Bolts'!$Y$19:$AF$19,'OEM Rod Bolts'!$Y$20:$AF$20,'OEM Rod Bolts'!$Y$21:$AF$21)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7.4999999999825206E-5</c:v>
                </c:pt>
                <c:pt idx="9">
                  <c:v>-1.0000000000021103E-4</c:v>
                </c:pt>
                <c:pt idx="10">
                  <c:v>-4.9999999999883471E-5</c:v>
                </c:pt>
                <c:pt idx="11">
                  <c:v>0</c:v>
                </c:pt>
                <c:pt idx="12">
                  <c:v>4.9999999999883471E-5</c:v>
                </c:pt>
                <c:pt idx="13">
                  <c:v>0</c:v>
                </c:pt>
                <c:pt idx="14">
                  <c:v>-2.5000000000385825E-5</c:v>
                </c:pt>
                <c:pt idx="15">
                  <c:v>0</c:v>
                </c:pt>
                <c:pt idx="16">
                  <c:v>1.2499999999970868E-4</c:v>
                </c:pt>
                <c:pt idx="17">
                  <c:v>-1.500000000000945E-4</c:v>
                </c:pt>
                <c:pt idx="18">
                  <c:v>-4.9999999999883471E-5</c:v>
                </c:pt>
                <c:pt idx="19">
                  <c:v>-1.7499999999959215E-4</c:v>
                </c:pt>
                <c:pt idx="20">
                  <c:v>4.9999999999883471E-5</c:v>
                </c:pt>
                <c:pt idx="21">
                  <c:v>-9.9999999999766942E-5</c:v>
                </c:pt>
                <c:pt idx="22">
                  <c:v>-2.5000000000385825E-5</c:v>
                </c:pt>
                <c:pt idx="23">
                  <c:v>-1.0000000000021103E-4</c:v>
                </c:pt>
                <c:pt idx="24">
                  <c:v>2.2499999999991971E-4</c:v>
                </c:pt>
                <c:pt idx="25">
                  <c:v>-1.9999999999997797E-4</c:v>
                </c:pt>
                <c:pt idx="26">
                  <c:v>-4.9999999999883471E-5</c:v>
                </c:pt>
                <c:pt idx="27">
                  <c:v>-2.4999999999986144E-4</c:v>
                </c:pt>
                <c:pt idx="28">
                  <c:v>1.9999999999997797E-4</c:v>
                </c:pt>
                <c:pt idx="29">
                  <c:v>-1.500000000000945E-4</c:v>
                </c:pt>
                <c:pt idx="30">
                  <c:v>-7.5000000000269296E-5</c:v>
                </c:pt>
                <c:pt idx="31">
                  <c:v>0</c:v>
                </c:pt>
                <c:pt idx="32">
                  <c:v>1.2499999999970868E-4</c:v>
                </c:pt>
                <c:pt idx="33">
                  <c:v>-1.500000000000945E-4</c:v>
                </c:pt>
                <c:pt idx="34">
                  <c:v>-4.9999999999883471E-5</c:v>
                </c:pt>
                <c:pt idx="35">
                  <c:v>-1.7499999999959215E-4</c:v>
                </c:pt>
                <c:pt idx="36">
                  <c:v>4.9999999999883471E-5</c:v>
                </c:pt>
                <c:pt idx="37">
                  <c:v>-9.9999999999766942E-5</c:v>
                </c:pt>
                <c:pt idx="38">
                  <c:v>-2.5000000000385825E-5</c:v>
                </c:pt>
                <c:pt idx="39">
                  <c:v>-1.0000000000021103E-4</c:v>
                </c:pt>
                <c:pt idx="40">
                  <c:v>7.4999999999825206E-5</c:v>
                </c:pt>
                <c:pt idx="41">
                  <c:v>-1.0000000000021103E-4</c:v>
                </c:pt>
                <c:pt idx="42">
                  <c:v>-4.9999999999883471E-5</c:v>
                </c:pt>
                <c:pt idx="43">
                  <c:v>0</c:v>
                </c:pt>
                <c:pt idx="44">
                  <c:v>4.9999999999883471E-5</c:v>
                </c:pt>
                <c:pt idx="45">
                  <c:v>0</c:v>
                </c:pt>
                <c:pt idx="46">
                  <c:v>-2.5000000000385825E-5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23136"/>
        <c:axId val="697723712"/>
      </c:scatterChart>
      <c:valAx>
        <c:axId val="697723136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723712"/>
        <c:crossesAt val="0"/>
        <c:crossBetween val="midCat"/>
        <c:majorUnit val="22.5"/>
      </c:valAx>
      <c:valAx>
        <c:axId val="697723712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723136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/>
            </a:pPr>
            <a:r>
              <a:rPr lang="en-US" sz="1600" b="1" i="0" baseline="0">
                <a:effectLst/>
              </a:rPr>
              <a:t>Rod Bolt Bore Distortion: ARP-2000 vs. OEM Bolts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ARP-2000, 45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Bolts'!$Q$4:$X$4,'ARP-2000 Rod Bolts'!$Q$5:$X$5,'ARP-2000 Rod Bolts'!$Q$6:$X$6,'ARP-2000 Rod Bolts'!$Q$7:$X$7,'ARP-2000 Rod Bolts'!$Q$8:$X$8,'ARP-2000 Rod Bolts'!$Q$9:$X$9,'ARP-2000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Bolts'!$Y$4:$AF$4,'ARP-2000 Rod Bolts'!$Y$5:$AF$5,'ARP-2000 Rod Bolts'!$Y$6:$AF$6,'ARP-2000 Rod Bolts'!$Y$7:$AF$7,'ARP-2000 Rod Bolts'!$Y$8:$AF$8,'ARP-2000 Rod Bolts'!$Y$9:$AF$9,'ARP-2000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1.2500000000059686E-4</c:v>
                </c:pt>
                <c:pt idx="9">
                  <c:v>4.9999999999883471E-5</c:v>
                </c:pt>
                <c:pt idx="10">
                  <c:v>-4.9999999999883471E-5</c:v>
                </c:pt>
                <c:pt idx="11">
                  <c:v>7.5000000000269296E-5</c:v>
                </c:pt>
                <c:pt idx="12">
                  <c:v>1.9999999999997797E-4</c:v>
                </c:pt>
                <c:pt idx="13">
                  <c:v>1.0000000000021103E-4</c:v>
                </c:pt>
                <c:pt idx="14">
                  <c:v>1.7500000000003624E-4</c:v>
                </c:pt>
                <c:pt idx="15">
                  <c:v>1.9999999999997797E-4</c:v>
                </c:pt>
                <c:pt idx="16">
                  <c:v>1.5000000000053859E-4</c:v>
                </c:pt>
                <c:pt idx="17">
                  <c:v>7.5000000000269296E-5</c:v>
                </c:pt>
                <c:pt idx="18">
                  <c:v>2.4999999999941735E-5</c:v>
                </c:pt>
                <c:pt idx="19">
                  <c:v>1.0000000000021103E-4</c:v>
                </c:pt>
                <c:pt idx="20">
                  <c:v>2.7499999999980318E-4</c:v>
                </c:pt>
                <c:pt idx="21">
                  <c:v>1.0000000000021103E-4</c:v>
                </c:pt>
                <c:pt idx="22">
                  <c:v>1.7500000000003624E-4</c:v>
                </c:pt>
                <c:pt idx="23">
                  <c:v>3.9999999999995595E-4</c:v>
                </c:pt>
                <c:pt idx="24">
                  <c:v>1.500000000000945E-4</c:v>
                </c:pt>
                <c:pt idx="25">
                  <c:v>9.9999999999766942E-5</c:v>
                </c:pt>
                <c:pt idx="26">
                  <c:v>4.9999999999883471E-5</c:v>
                </c:pt>
                <c:pt idx="27">
                  <c:v>1.9999999999997797E-4</c:v>
                </c:pt>
                <c:pt idx="28">
                  <c:v>3.9999999999995595E-4</c:v>
                </c:pt>
                <c:pt idx="29">
                  <c:v>1.0000000000021103E-4</c:v>
                </c:pt>
                <c:pt idx="30">
                  <c:v>2.9999999999974492E-4</c:v>
                </c:pt>
                <c:pt idx="31">
                  <c:v>4.9999999999972289E-4</c:v>
                </c:pt>
                <c:pt idx="32">
                  <c:v>1.5000000000053859E-4</c:v>
                </c:pt>
                <c:pt idx="33">
                  <c:v>7.5000000000269296E-5</c:v>
                </c:pt>
                <c:pt idx="34">
                  <c:v>2.4999999999941735E-5</c:v>
                </c:pt>
                <c:pt idx="35">
                  <c:v>1.0000000000021103E-4</c:v>
                </c:pt>
                <c:pt idx="36">
                  <c:v>2.7499999999980318E-4</c:v>
                </c:pt>
                <c:pt idx="37">
                  <c:v>1.0000000000021103E-4</c:v>
                </c:pt>
                <c:pt idx="38">
                  <c:v>1.7500000000003624E-4</c:v>
                </c:pt>
                <c:pt idx="39">
                  <c:v>3.9999999999995595E-4</c:v>
                </c:pt>
                <c:pt idx="40">
                  <c:v>1.2500000000059686E-4</c:v>
                </c:pt>
                <c:pt idx="41">
                  <c:v>4.9999999999883471E-5</c:v>
                </c:pt>
                <c:pt idx="42">
                  <c:v>-4.9999999999883471E-5</c:v>
                </c:pt>
                <c:pt idx="43">
                  <c:v>7.5000000000269296E-5</c:v>
                </c:pt>
                <c:pt idx="44">
                  <c:v>1.9999999999997797E-4</c:v>
                </c:pt>
                <c:pt idx="45">
                  <c:v>1.0000000000021103E-4</c:v>
                </c:pt>
                <c:pt idx="46">
                  <c:v>1.7500000000003624E-4</c:v>
                </c:pt>
                <c:pt idx="47">
                  <c:v>1.9999999999997797E-4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ARP-2000,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Bolts'!$Q$21:$X$21,'ARP-2000 Rod Bolts'!$Q$22:$X$22,'ARP-2000 Rod Bolts'!$Q$23:$X$23,'ARP-2000 Rod Bolts'!$Q$24:$X$24,'ARP-2000 Rod Bolts'!$Q$25:$X$25,'ARP-2000 Rod Bolts'!$Q$26:$X$26,'ARP-2000 Rod Bolts'!$Q$27:$X$27)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Bolts'!$Y$21:$AF$21,'ARP-2000 Rod Bolts'!$Y$22:$AF$22,'ARP-2000 Rod Bolts'!$Y$23:$AF$23,'ARP-2000 Rod Bolts'!$Y$24:$AF$24,'ARP-2000 Rod Bolts'!$Y$25:$AF$25,'ARP-2000 Rod Bolts'!$Y$26:$AF$26,'ARP-2000 Rod Bolts'!$Y$27:$AF$27)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-1.0000000000021103E-4</c:v>
                </c:pt>
                <c:pt idx="10">
                  <c:v>-1.2500000000015277E-4</c:v>
                </c:pt>
                <c:pt idx="11">
                  <c:v>-2.4999999999941735E-5</c:v>
                </c:pt>
                <c:pt idx="12">
                  <c:v>0</c:v>
                </c:pt>
                <c:pt idx="13">
                  <c:v>-1.0000000000021103E-4</c:v>
                </c:pt>
                <c:pt idx="14">
                  <c:v>-7.4999999999825206E-5</c:v>
                </c:pt>
                <c:pt idx="15">
                  <c:v>0</c:v>
                </c:pt>
                <c:pt idx="16">
                  <c:v>-1.7500000000003624E-4</c:v>
                </c:pt>
                <c:pt idx="17">
                  <c:v>-1.9999999999997797E-4</c:v>
                </c:pt>
                <c:pt idx="18">
                  <c:v>-1.9999999999997797E-4</c:v>
                </c:pt>
                <c:pt idx="19">
                  <c:v>-2.2499999999991971E-4</c:v>
                </c:pt>
                <c:pt idx="20">
                  <c:v>-1.500000000000945E-4</c:v>
                </c:pt>
                <c:pt idx="21">
                  <c:v>-3.00000000000189E-4</c:v>
                </c:pt>
                <c:pt idx="22">
                  <c:v>-2.250000000003638E-4</c:v>
                </c:pt>
                <c:pt idx="23">
                  <c:v>-2.2499999999991971E-4</c:v>
                </c:pt>
                <c:pt idx="24">
                  <c:v>-2.4999999999986144E-4</c:v>
                </c:pt>
                <c:pt idx="25">
                  <c:v>-2.9999999999974492E-4</c:v>
                </c:pt>
                <c:pt idx="26">
                  <c:v>-2.2499999999991971E-4</c:v>
                </c:pt>
                <c:pt idx="27">
                  <c:v>-2.9999999999974492E-4</c:v>
                </c:pt>
                <c:pt idx="28">
                  <c:v>-1.7500000000003624E-4</c:v>
                </c:pt>
                <c:pt idx="29">
                  <c:v>-3.7500000000001421E-4</c:v>
                </c:pt>
                <c:pt idx="30">
                  <c:v>-3.7500000000001421E-4</c:v>
                </c:pt>
                <c:pt idx="31">
                  <c:v>-2.2499999999991971E-4</c:v>
                </c:pt>
                <c:pt idx="32">
                  <c:v>-1.7500000000003624E-4</c:v>
                </c:pt>
                <c:pt idx="33">
                  <c:v>-1.9999999999997797E-4</c:v>
                </c:pt>
                <c:pt idx="34">
                  <c:v>-1.9999999999997797E-4</c:v>
                </c:pt>
                <c:pt idx="35">
                  <c:v>-2.2499999999991971E-4</c:v>
                </c:pt>
                <c:pt idx="36">
                  <c:v>-1.500000000000945E-4</c:v>
                </c:pt>
                <c:pt idx="37">
                  <c:v>-3.00000000000189E-4</c:v>
                </c:pt>
                <c:pt idx="38">
                  <c:v>-2.250000000003638E-4</c:v>
                </c:pt>
                <c:pt idx="39">
                  <c:v>-2.2499999999991971E-4</c:v>
                </c:pt>
                <c:pt idx="40">
                  <c:v>0</c:v>
                </c:pt>
                <c:pt idx="41">
                  <c:v>-1.0000000000021103E-4</c:v>
                </c:pt>
                <c:pt idx="42">
                  <c:v>-1.2500000000015277E-4</c:v>
                </c:pt>
                <c:pt idx="43">
                  <c:v>-2.4999999999941735E-5</c:v>
                </c:pt>
                <c:pt idx="44">
                  <c:v>0</c:v>
                </c:pt>
                <c:pt idx="45">
                  <c:v>-1.0000000000021103E-4</c:v>
                </c:pt>
                <c:pt idx="46">
                  <c:v>-7.4999999999825206E-5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25440"/>
        <c:axId val="697726016"/>
      </c:scatterChart>
      <c:valAx>
        <c:axId val="69772544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726016"/>
        <c:crossesAt val="0"/>
        <c:crossBetween val="midCat"/>
        <c:majorUnit val="22.5"/>
      </c:valAx>
      <c:valAx>
        <c:axId val="697726016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72544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ARP-2000 Bolts @ 45 Ft/Lbs Delta vs. OEM Bolts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45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Bolts'!$Q$11:$X$11,'ARP-2000 Rod Bolts'!$Q$12:$X$12,'ARP-2000 Rod Bolts'!$Q$13:$X$13,'ARP-2000 Rod Bolts'!$Q$14:$X$14,'ARP-2000 Rod Bolts'!$Q$15:$X$15,'ARP-2000 Rod Bolts'!$Q$16:$X$16,'ARP-2000 Rod Bolts'!$Q$17:$X$17)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Bolts'!$Y$11:$AF$11,'ARP-2000 Rod Bolts'!$Y$12:$AF$12,'ARP-2000 Rod Bolts'!$Y$13:$AF$13,'ARP-2000 Rod Bolts'!$Y$14:$AF$14,'ARP-2000 Rod Bolts'!$Y$15:$AF$15,'ARP-2000 Rod Bolts'!$Y$16:$AF$16,'ARP-2000 Rod Bolts'!$Y$17:$AF$17)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1.6562500000072422E-4</c:v>
                </c:pt>
                <c:pt idx="9">
                  <c:v>9.0625000000010836E-5</c:v>
                </c:pt>
                <c:pt idx="10">
                  <c:v>-9.3749999997561062E-6</c:v>
                </c:pt>
                <c:pt idx="11">
                  <c:v>1.1562500000039666E-4</c:v>
                </c:pt>
                <c:pt idx="12">
                  <c:v>2.4062500000010534E-4</c:v>
                </c:pt>
                <c:pt idx="13">
                  <c:v>1.406250000003384E-4</c:v>
                </c:pt>
                <c:pt idx="14">
                  <c:v>2.156250000001636E-4</c:v>
                </c:pt>
                <c:pt idx="15">
                  <c:v>2.4062500000010534E-4</c:v>
                </c:pt>
                <c:pt idx="16">
                  <c:v>3.0312500000051479E-4</c:v>
                </c:pt>
                <c:pt idx="17">
                  <c:v>2.2812500000024549E-4</c:v>
                </c:pt>
                <c:pt idx="18">
                  <c:v>1.7812499999991793E-4</c:v>
                </c:pt>
                <c:pt idx="19">
                  <c:v>2.5312500000018723E-4</c:v>
                </c:pt>
                <c:pt idx="20">
                  <c:v>4.2812499999977938E-4</c:v>
                </c:pt>
                <c:pt idx="21">
                  <c:v>2.5312500000018723E-4</c:v>
                </c:pt>
                <c:pt idx="22">
                  <c:v>3.2812500000001243E-4</c:v>
                </c:pt>
                <c:pt idx="23">
                  <c:v>5.5312499999993214E-4</c:v>
                </c:pt>
                <c:pt idx="24">
                  <c:v>3.7500000000006972E-4</c:v>
                </c:pt>
                <c:pt idx="25">
                  <c:v>3.2499999999974216E-4</c:v>
                </c:pt>
                <c:pt idx="26">
                  <c:v>2.7499999999985869E-4</c:v>
                </c:pt>
                <c:pt idx="27">
                  <c:v>4.2499999999995319E-4</c:v>
                </c:pt>
                <c:pt idx="28">
                  <c:v>6.2499999999993117E-4</c:v>
                </c:pt>
                <c:pt idx="29">
                  <c:v>3.2500000000018625E-4</c:v>
                </c:pt>
                <c:pt idx="30">
                  <c:v>5.2499999999972013E-4</c:v>
                </c:pt>
                <c:pt idx="31">
                  <c:v>7.2499999999969811E-4</c:v>
                </c:pt>
                <c:pt idx="32">
                  <c:v>3.0312500000051479E-4</c:v>
                </c:pt>
                <c:pt idx="33">
                  <c:v>2.2812500000024549E-4</c:v>
                </c:pt>
                <c:pt idx="34">
                  <c:v>1.7812499999991793E-4</c:v>
                </c:pt>
                <c:pt idx="35">
                  <c:v>2.5312500000018723E-4</c:v>
                </c:pt>
                <c:pt idx="36">
                  <c:v>4.2812499999977938E-4</c:v>
                </c:pt>
                <c:pt idx="37">
                  <c:v>2.5312500000018723E-4</c:v>
                </c:pt>
                <c:pt idx="38">
                  <c:v>3.2812500000001243E-4</c:v>
                </c:pt>
                <c:pt idx="39">
                  <c:v>5.5312499999993214E-4</c:v>
                </c:pt>
                <c:pt idx="40">
                  <c:v>1.6562500000072422E-4</c:v>
                </c:pt>
                <c:pt idx="41">
                  <c:v>9.0625000000010836E-5</c:v>
                </c:pt>
                <c:pt idx="42">
                  <c:v>-9.3749999997561062E-6</c:v>
                </c:pt>
                <c:pt idx="43">
                  <c:v>1.1562500000039666E-4</c:v>
                </c:pt>
                <c:pt idx="44">
                  <c:v>2.4062500000010534E-4</c:v>
                </c:pt>
                <c:pt idx="45">
                  <c:v>1.406250000003384E-4</c:v>
                </c:pt>
                <c:pt idx="46">
                  <c:v>2.156250000001636E-4</c:v>
                </c:pt>
                <c:pt idx="47">
                  <c:v>2.4062500000010534E-4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27744"/>
        <c:axId val="697728320"/>
      </c:scatterChart>
      <c:valAx>
        <c:axId val="69772774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728320"/>
        <c:crossesAt val="0"/>
        <c:crossBetween val="midCat"/>
        <c:majorUnit val="22.5"/>
      </c:valAx>
      <c:valAx>
        <c:axId val="697728320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72774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ARP-2000 Bolts @ 45, 50 Ft/Lbs Delta vs. OEM Bolts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45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Bolts'!$Q$11:$X$11,'ARP-2000 Rod Bolts'!$Q$12:$X$12,'ARP-2000 Rod Bolts'!$Q$13:$X$13,'ARP-2000 Rod Bolts'!$Q$14:$X$14,'ARP-2000 Rod Bolts'!$Q$15:$X$15,'ARP-2000 Rod Bolts'!$Q$16:$X$16,'ARP-2000 Rod Bolts'!$Q$17:$X$17)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Bolts'!$Y$11:$AF$11,'ARP-2000 Rod Bolts'!$Y$12:$AF$12,'ARP-2000 Rod Bolts'!$Y$13:$AF$13,'ARP-2000 Rod Bolts'!$Y$14:$AF$14,'ARP-2000 Rod Bolts'!$Y$15:$AF$15,'ARP-2000 Rod Bolts'!$Y$16:$AF$16,'ARP-2000 Rod Bolts'!$Y$17:$AF$17)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1.6562500000072422E-4</c:v>
                </c:pt>
                <c:pt idx="9">
                  <c:v>9.0625000000010836E-5</c:v>
                </c:pt>
                <c:pt idx="10">
                  <c:v>-9.3749999997561062E-6</c:v>
                </c:pt>
                <c:pt idx="11">
                  <c:v>1.1562500000039666E-4</c:v>
                </c:pt>
                <c:pt idx="12">
                  <c:v>2.4062500000010534E-4</c:v>
                </c:pt>
                <c:pt idx="13">
                  <c:v>1.406250000003384E-4</c:v>
                </c:pt>
                <c:pt idx="14">
                  <c:v>2.156250000001636E-4</c:v>
                </c:pt>
                <c:pt idx="15">
                  <c:v>2.4062500000010534E-4</c:v>
                </c:pt>
                <c:pt idx="16">
                  <c:v>3.0312500000051479E-4</c:v>
                </c:pt>
                <c:pt idx="17">
                  <c:v>2.2812500000024549E-4</c:v>
                </c:pt>
                <c:pt idx="18">
                  <c:v>1.7812499999991793E-4</c:v>
                </c:pt>
                <c:pt idx="19">
                  <c:v>2.5312500000018723E-4</c:v>
                </c:pt>
                <c:pt idx="20">
                  <c:v>4.2812499999977938E-4</c:v>
                </c:pt>
                <c:pt idx="21">
                  <c:v>2.5312500000018723E-4</c:v>
                </c:pt>
                <c:pt idx="22">
                  <c:v>3.2812500000001243E-4</c:v>
                </c:pt>
                <c:pt idx="23">
                  <c:v>5.5312499999993214E-4</c:v>
                </c:pt>
                <c:pt idx="24">
                  <c:v>3.7500000000006972E-4</c:v>
                </c:pt>
                <c:pt idx="25">
                  <c:v>3.2499999999974216E-4</c:v>
                </c:pt>
                <c:pt idx="26">
                  <c:v>2.7499999999985869E-4</c:v>
                </c:pt>
                <c:pt idx="27">
                  <c:v>4.2499999999995319E-4</c:v>
                </c:pt>
                <c:pt idx="28">
                  <c:v>6.2499999999993117E-4</c:v>
                </c:pt>
                <c:pt idx="29">
                  <c:v>3.2500000000018625E-4</c:v>
                </c:pt>
                <c:pt idx="30">
                  <c:v>5.2499999999972013E-4</c:v>
                </c:pt>
                <c:pt idx="31">
                  <c:v>7.2499999999969811E-4</c:v>
                </c:pt>
                <c:pt idx="32">
                  <c:v>3.0312500000051479E-4</c:v>
                </c:pt>
                <c:pt idx="33">
                  <c:v>2.2812500000024549E-4</c:v>
                </c:pt>
                <c:pt idx="34">
                  <c:v>1.7812499999991793E-4</c:v>
                </c:pt>
                <c:pt idx="35">
                  <c:v>2.5312500000018723E-4</c:v>
                </c:pt>
                <c:pt idx="36">
                  <c:v>4.2812499999977938E-4</c:v>
                </c:pt>
                <c:pt idx="37">
                  <c:v>2.5312500000018723E-4</c:v>
                </c:pt>
                <c:pt idx="38">
                  <c:v>3.2812500000001243E-4</c:v>
                </c:pt>
                <c:pt idx="39">
                  <c:v>5.5312499999993214E-4</c:v>
                </c:pt>
                <c:pt idx="40">
                  <c:v>1.6562500000072422E-4</c:v>
                </c:pt>
                <c:pt idx="41">
                  <c:v>9.0625000000010836E-5</c:v>
                </c:pt>
                <c:pt idx="42">
                  <c:v>-9.3749999997561062E-6</c:v>
                </c:pt>
                <c:pt idx="43">
                  <c:v>1.1562500000039666E-4</c:v>
                </c:pt>
                <c:pt idx="44">
                  <c:v>2.4062500000010534E-4</c:v>
                </c:pt>
                <c:pt idx="45">
                  <c:v>1.406250000003384E-4</c:v>
                </c:pt>
                <c:pt idx="46">
                  <c:v>2.156250000001636E-4</c:v>
                </c:pt>
                <c:pt idx="47">
                  <c:v>2.4062500000010534E-4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ARP-2000,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Bolts'!$Q$28:$X$28,'ARP-2000 Rod Bolts'!$Q$29:$X$29,'ARP-2000 Rod Bolts'!$Q$30:$X$30,'ARP-2000 Rod Bolts'!$Q$31:$X$31,'ARP-2000 Rod Bolts'!$Q$32:$X$32,'ARP-2000 Rod Bolts'!$Q$33:$X$33,'ARP-2000 Rod Bolts'!$Q$34:$X$34)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Bolts'!$Y$28:$AF$28,'ARP-2000 Rod Bolts'!$Y$29:$AF$29,'ARP-2000 Rod Bolts'!$Y$30:$AF$30,'ARP-2000 Rod Bolts'!$Y$31:$AF$31,'ARP-2000 Rod Bolts'!$Y$32:$AF$32,'ARP-2000 Rod Bolts'!$Y$33:$AF$33,'ARP-2000 Rod Bolts'!$Y$34:$AF$34)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4.0625000000127365E-5</c:v>
                </c:pt>
                <c:pt idx="9">
                  <c:v>-5.9375000000083666E-5</c:v>
                </c:pt>
                <c:pt idx="10">
                  <c:v>-8.4375000000025402E-5</c:v>
                </c:pt>
                <c:pt idx="11">
                  <c:v>1.5625000000185629E-5</c:v>
                </c:pt>
                <c:pt idx="12">
                  <c:v>4.0625000000127365E-5</c:v>
                </c:pt>
                <c:pt idx="13">
                  <c:v>-5.9375000000083666E-5</c:v>
                </c:pt>
                <c:pt idx="14">
                  <c:v>-3.4374999999697842E-5</c:v>
                </c:pt>
                <c:pt idx="15">
                  <c:v>4.0625000000127365E-5</c:v>
                </c:pt>
                <c:pt idx="16">
                  <c:v>-2.1875000000060041E-5</c:v>
                </c:pt>
                <c:pt idx="17">
                  <c:v>-4.6875000000001776E-5</c:v>
                </c:pt>
                <c:pt idx="18">
                  <c:v>-4.6875000000001776E-5</c:v>
                </c:pt>
                <c:pt idx="19">
                  <c:v>-7.1874999999943512E-5</c:v>
                </c:pt>
                <c:pt idx="20">
                  <c:v>3.1249999998816946E-6</c:v>
                </c:pt>
                <c:pt idx="21">
                  <c:v>-1.4687500000021281E-4</c:v>
                </c:pt>
                <c:pt idx="22">
                  <c:v>-7.1875000000387601E-5</c:v>
                </c:pt>
                <c:pt idx="23">
                  <c:v>-7.1874999999943512E-5</c:v>
                </c:pt>
                <c:pt idx="24">
                  <c:v>-2.4999999999886224E-5</c:v>
                </c:pt>
                <c:pt idx="25">
                  <c:v>-7.4999999999769695E-5</c:v>
                </c:pt>
                <c:pt idx="26">
                  <c:v>5.5511151231257827E-17</c:v>
                </c:pt>
                <c:pt idx="27">
                  <c:v>-7.4999999999769695E-5</c:v>
                </c:pt>
                <c:pt idx="28">
                  <c:v>4.9999999999938982E-5</c:v>
                </c:pt>
                <c:pt idx="29">
                  <c:v>-1.5000000000003899E-4</c:v>
                </c:pt>
                <c:pt idx="30">
                  <c:v>-1.5000000000003899E-4</c:v>
                </c:pt>
                <c:pt idx="31">
                  <c:v>5.5511151231257827E-17</c:v>
                </c:pt>
                <c:pt idx="32">
                  <c:v>-2.1875000000060041E-5</c:v>
                </c:pt>
                <c:pt idx="33">
                  <c:v>-4.6875000000001776E-5</c:v>
                </c:pt>
                <c:pt idx="34">
                  <c:v>-4.6875000000001776E-5</c:v>
                </c:pt>
                <c:pt idx="35">
                  <c:v>-7.1874999999943512E-5</c:v>
                </c:pt>
                <c:pt idx="36">
                  <c:v>3.1249999998816946E-6</c:v>
                </c:pt>
                <c:pt idx="37">
                  <c:v>-1.4687500000021281E-4</c:v>
                </c:pt>
                <c:pt idx="38">
                  <c:v>-7.1875000000387601E-5</c:v>
                </c:pt>
                <c:pt idx="39">
                  <c:v>-7.1874999999943512E-5</c:v>
                </c:pt>
                <c:pt idx="40">
                  <c:v>4.0625000000127365E-5</c:v>
                </c:pt>
                <c:pt idx="41">
                  <c:v>-5.9375000000083666E-5</c:v>
                </c:pt>
                <c:pt idx="42">
                  <c:v>-8.4375000000025402E-5</c:v>
                </c:pt>
                <c:pt idx="43">
                  <c:v>1.5625000000185629E-5</c:v>
                </c:pt>
                <c:pt idx="44">
                  <c:v>4.0625000000127365E-5</c:v>
                </c:pt>
                <c:pt idx="45">
                  <c:v>-5.9375000000083666E-5</c:v>
                </c:pt>
                <c:pt idx="46">
                  <c:v>-3.4374999999697842E-5</c:v>
                </c:pt>
                <c:pt idx="47">
                  <c:v>4.0625000000127365E-5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645376"/>
        <c:axId val="702645952"/>
      </c:scatterChart>
      <c:valAx>
        <c:axId val="702645376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02645952"/>
        <c:crossesAt val="0"/>
        <c:crossBetween val="midCat"/>
        <c:majorUnit val="22.5"/>
      </c:valAx>
      <c:valAx>
        <c:axId val="702645952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2645376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 OEM Rod Big-End with OEM Bolts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647680"/>
        <c:axId val="702648256"/>
      </c:scatterChart>
      <c:valAx>
        <c:axId val="70264768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02648256"/>
        <c:crossesAt val="0"/>
        <c:crossBetween val="midCat"/>
        <c:majorUnit val="22.5"/>
      </c:valAx>
      <c:valAx>
        <c:axId val="702648256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264768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 ReMfg Rod Big-End with OEM Bolts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ReMfg 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Bolts'!$Q$15:$X$15,'OEM Rod Bolts'!$Q$16:$X$16,'OEM Rod Bolts'!$Q$17:$X$17,'OEM Rod Bolts'!$Q$18:$X$18,'OEM Rod Bolts'!$Q$19:$X$19,'OEM Rod Bolts'!$Q$20:$X$20,'OEM Rod Bolts'!$Q$21:$X$21)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Bolts'!$Y$15:$AF$15,'OEM Rod Bolts'!$Y$16:$AF$16,'OEM Rod Bolts'!$Y$17:$AF$17,'OEM Rod Bolts'!$Y$18:$AF$18,'OEM Rod Bolts'!$Y$19:$AF$19,'OEM Rod Bolts'!$Y$20:$AF$20,'OEM Rod Bolts'!$Y$21:$AF$21)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7.4999999999825206E-5</c:v>
                </c:pt>
                <c:pt idx="9">
                  <c:v>-1.0000000000021103E-4</c:v>
                </c:pt>
                <c:pt idx="10">
                  <c:v>-4.9999999999883471E-5</c:v>
                </c:pt>
                <c:pt idx="11">
                  <c:v>0</c:v>
                </c:pt>
                <c:pt idx="12">
                  <c:v>4.9999999999883471E-5</c:v>
                </c:pt>
                <c:pt idx="13">
                  <c:v>0</c:v>
                </c:pt>
                <c:pt idx="14">
                  <c:v>-2.5000000000385825E-5</c:v>
                </c:pt>
                <c:pt idx="15">
                  <c:v>0</c:v>
                </c:pt>
                <c:pt idx="16">
                  <c:v>1.2499999999970868E-4</c:v>
                </c:pt>
                <c:pt idx="17">
                  <c:v>-1.500000000000945E-4</c:v>
                </c:pt>
                <c:pt idx="18">
                  <c:v>-4.9999999999883471E-5</c:v>
                </c:pt>
                <c:pt idx="19">
                  <c:v>-1.7499999999959215E-4</c:v>
                </c:pt>
                <c:pt idx="20">
                  <c:v>4.9999999999883471E-5</c:v>
                </c:pt>
                <c:pt idx="21">
                  <c:v>-9.9999999999766942E-5</c:v>
                </c:pt>
                <c:pt idx="22">
                  <c:v>-2.5000000000385825E-5</c:v>
                </c:pt>
                <c:pt idx="23">
                  <c:v>-1.0000000000021103E-4</c:v>
                </c:pt>
                <c:pt idx="24">
                  <c:v>2.2499999999991971E-4</c:v>
                </c:pt>
                <c:pt idx="25">
                  <c:v>-1.9999999999997797E-4</c:v>
                </c:pt>
                <c:pt idx="26">
                  <c:v>-4.9999999999883471E-5</c:v>
                </c:pt>
                <c:pt idx="27">
                  <c:v>-2.4999999999986144E-4</c:v>
                </c:pt>
                <c:pt idx="28">
                  <c:v>1.9999999999997797E-4</c:v>
                </c:pt>
                <c:pt idx="29">
                  <c:v>-1.500000000000945E-4</c:v>
                </c:pt>
                <c:pt idx="30">
                  <c:v>-7.5000000000269296E-5</c:v>
                </c:pt>
                <c:pt idx="31">
                  <c:v>0</c:v>
                </c:pt>
                <c:pt idx="32">
                  <c:v>1.2499999999970868E-4</c:v>
                </c:pt>
                <c:pt idx="33">
                  <c:v>-1.500000000000945E-4</c:v>
                </c:pt>
                <c:pt idx="34">
                  <c:v>-4.9999999999883471E-5</c:v>
                </c:pt>
                <c:pt idx="35">
                  <c:v>-1.7499999999959215E-4</c:v>
                </c:pt>
                <c:pt idx="36">
                  <c:v>4.9999999999883471E-5</c:v>
                </c:pt>
                <c:pt idx="37">
                  <c:v>-9.9999999999766942E-5</c:v>
                </c:pt>
                <c:pt idx="38">
                  <c:v>-2.5000000000385825E-5</c:v>
                </c:pt>
                <c:pt idx="39">
                  <c:v>-1.0000000000021103E-4</c:v>
                </c:pt>
                <c:pt idx="40">
                  <c:v>7.4999999999825206E-5</c:v>
                </c:pt>
                <c:pt idx="41">
                  <c:v>-1.0000000000021103E-4</c:v>
                </c:pt>
                <c:pt idx="42">
                  <c:v>-4.9999999999883471E-5</c:v>
                </c:pt>
                <c:pt idx="43">
                  <c:v>0</c:v>
                </c:pt>
                <c:pt idx="44">
                  <c:v>4.9999999999883471E-5</c:v>
                </c:pt>
                <c:pt idx="45">
                  <c:v>0</c:v>
                </c:pt>
                <c:pt idx="46">
                  <c:v>-2.5000000000385825E-5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649984"/>
        <c:axId val="702650560"/>
      </c:scatterChart>
      <c:valAx>
        <c:axId val="70264998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02650560"/>
        <c:crossesAt val="0"/>
        <c:crossBetween val="midCat"/>
        <c:majorUnit val="22.5"/>
      </c:valAx>
      <c:valAx>
        <c:axId val="702650560"/>
        <c:scaling>
          <c:orientation val="minMax"/>
          <c:max val="1.2000000000000003E-3"/>
          <c:min val="-2.0000000000000006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264998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ARP-2000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ReMfg 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Bolts'!$Q$15:$X$15,'OEM Rod Bolts'!$Q$16:$X$16,'OEM Rod Bolts'!$Q$17:$X$17,'OEM Rod Bolts'!$Q$18:$X$18,'OEM Rod Bolts'!$Q$19:$X$19,'OEM Rod Bolts'!$Q$20:$X$20,'OEM Rod Bolts'!$Q$21:$X$21)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Bolts'!$Y$15:$AF$15,'OEM Rod Bolts'!$Y$16:$AF$16,'OEM Rod Bolts'!$Y$17:$AF$17,'OEM Rod Bolts'!$Y$18:$AF$18,'OEM Rod Bolts'!$Y$19:$AF$19,'OEM Rod Bolts'!$Y$20:$AF$20,'OEM Rod Bolts'!$Y$21:$AF$21)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7.4999999999825206E-5</c:v>
                </c:pt>
                <c:pt idx="9">
                  <c:v>-1.0000000000021103E-4</c:v>
                </c:pt>
                <c:pt idx="10">
                  <c:v>-4.9999999999883471E-5</c:v>
                </c:pt>
                <c:pt idx="11">
                  <c:v>0</c:v>
                </c:pt>
                <c:pt idx="12">
                  <c:v>4.9999999999883471E-5</c:v>
                </c:pt>
                <c:pt idx="13">
                  <c:v>0</c:v>
                </c:pt>
                <c:pt idx="14">
                  <c:v>-2.5000000000385825E-5</c:v>
                </c:pt>
                <c:pt idx="15">
                  <c:v>0</c:v>
                </c:pt>
                <c:pt idx="16">
                  <c:v>1.2499999999970868E-4</c:v>
                </c:pt>
                <c:pt idx="17">
                  <c:v>-1.500000000000945E-4</c:v>
                </c:pt>
                <c:pt idx="18">
                  <c:v>-4.9999999999883471E-5</c:v>
                </c:pt>
                <c:pt idx="19">
                  <c:v>-1.7499999999959215E-4</c:v>
                </c:pt>
                <c:pt idx="20">
                  <c:v>4.9999999999883471E-5</c:v>
                </c:pt>
                <c:pt idx="21">
                  <c:v>-9.9999999999766942E-5</c:v>
                </c:pt>
                <c:pt idx="22">
                  <c:v>-2.5000000000385825E-5</c:v>
                </c:pt>
                <c:pt idx="23">
                  <c:v>-1.0000000000021103E-4</c:v>
                </c:pt>
                <c:pt idx="24">
                  <c:v>2.2499999999991971E-4</c:v>
                </c:pt>
                <c:pt idx="25">
                  <c:v>-1.9999999999997797E-4</c:v>
                </c:pt>
                <c:pt idx="26">
                  <c:v>-4.9999999999883471E-5</c:v>
                </c:pt>
                <c:pt idx="27">
                  <c:v>-2.4999999999986144E-4</c:v>
                </c:pt>
                <c:pt idx="28">
                  <c:v>1.9999999999997797E-4</c:v>
                </c:pt>
                <c:pt idx="29">
                  <c:v>-1.500000000000945E-4</c:v>
                </c:pt>
                <c:pt idx="30">
                  <c:v>-7.5000000000269296E-5</c:v>
                </c:pt>
                <c:pt idx="31">
                  <c:v>0</c:v>
                </c:pt>
                <c:pt idx="32">
                  <c:v>1.2499999999970868E-4</c:v>
                </c:pt>
                <c:pt idx="33">
                  <c:v>-1.500000000000945E-4</c:v>
                </c:pt>
                <c:pt idx="34">
                  <c:v>-4.9999999999883471E-5</c:v>
                </c:pt>
                <c:pt idx="35">
                  <c:v>-1.7499999999959215E-4</c:v>
                </c:pt>
                <c:pt idx="36">
                  <c:v>4.9999999999883471E-5</c:v>
                </c:pt>
                <c:pt idx="37">
                  <c:v>-9.9999999999766942E-5</c:v>
                </c:pt>
                <c:pt idx="38">
                  <c:v>-2.5000000000385825E-5</c:v>
                </c:pt>
                <c:pt idx="39">
                  <c:v>-1.0000000000021103E-4</c:v>
                </c:pt>
                <c:pt idx="40">
                  <c:v>7.4999999999825206E-5</c:v>
                </c:pt>
                <c:pt idx="41">
                  <c:v>-1.0000000000021103E-4</c:v>
                </c:pt>
                <c:pt idx="42">
                  <c:v>-4.9999999999883471E-5</c:v>
                </c:pt>
                <c:pt idx="43">
                  <c:v>0</c:v>
                </c:pt>
                <c:pt idx="44">
                  <c:v>4.9999999999883471E-5</c:v>
                </c:pt>
                <c:pt idx="45">
                  <c:v>0</c:v>
                </c:pt>
                <c:pt idx="46">
                  <c:v>-2.5000000000385825E-5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ReMfg Rods, ARP-2000, 45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Bolts'!$Q$105:$X$105,'ARP-2000 Rod Bolts'!$Q$106:$X$106,'ARP-2000 Rod Bolts'!$Q$107:$X$107,'ARP-2000 Rod Bolts'!$Q$108:$X$108,'ARP-2000 Rod Bolts'!$Q$109:$X$109,'ARP-2000 Rod Bolts'!$Q$110:$X$110,'ARP-2000 Rod Bolts'!$Q$111:$X$111)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Bolts'!$Y$105:$AF$105,'ARP-2000 Rod Bolts'!$Y$106:$AF$106,'ARP-2000 Rod Bolts'!$Y$107:$AF$107,'ARP-2000 Rod Bolts'!$Y$108:$AF$108,'ARP-2000 Rod Bolts'!$Y$109:$AF$109,'ARP-2000 Rod Bolts'!$Y$110:$AF$110,'ARP-2000 Rod Bolts'!$Y$111:$AF$111)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3.4999999999962839E-4</c:v>
                </c:pt>
                <c:pt idx="9">
                  <c:v>1.9999999999997797E-4</c:v>
                </c:pt>
                <c:pt idx="10">
                  <c:v>2.7499999999980318E-4</c:v>
                </c:pt>
                <c:pt idx="11">
                  <c:v>3.2500000000013074E-4</c:v>
                </c:pt>
                <c:pt idx="12">
                  <c:v>2.7499999999980318E-4</c:v>
                </c:pt>
                <c:pt idx="13">
                  <c:v>3.4999999999962839E-4</c:v>
                </c:pt>
                <c:pt idx="14">
                  <c:v>3.9999999999995595E-4</c:v>
                </c:pt>
                <c:pt idx="15">
                  <c:v>2.2499999999991971E-4</c:v>
                </c:pt>
                <c:pt idx="16">
                  <c:v>9.0000000000012292E-4</c:v>
                </c:pt>
                <c:pt idx="17">
                  <c:v>3.7500000000001421E-4</c:v>
                </c:pt>
                <c:pt idx="18">
                  <c:v>6.2499999999987566E-4</c:v>
                </c:pt>
                <c:pt idx="19">
                  <c:v>8.7500000000018119E-4</c:v>
                </c:pt>
                <c:pt idx="20">
                  <c:v>5.9999999999993392E-4</c:v>
                </c:pt>
                <c:pt idx="21">
                  <c:v>6.7499999999975913E-4</c:v>
                </c:pt>
                <c:pt idx="22">
                  <c:v>7.249999999996426E-4</c:v>
                </c:pt>
                <c:pt idx="23">
                  <c:v>5.0000000000016698E-4</c:v>
                </c:pt>
                <c:pt idx="24">
                  <c:v>1.1999999999998678E-3</c:v>
                </c:pt>
                <c:pt idx="25">
                  <c:v>5.9999999999993392E-4</c:v>
                </c:pt>
                <c:pt idx="26">
                  <c:v>8.749999999997371E-4</c:v>
                </c:pt>
                <c:pt idx="27">
                  <c:v>1.0750000000001592E-3</c:v>
                </c:pt>
                <c:pt idx="28">
                  <c:v>9.5000000000000639E-4</c:v>
                </c:pt>
                <c:pt idx="29">
                  <c:v>9.7499999999994813E-4</c:v>
                </c:pt>
                <c:pt idx="30">
                  <c:v>1.0249999999998316E-3</c:v>
                </c:pt>
                <c:pt idx="31">
                  <c:v>7.2500000000008669E-4</c:v>
                </c:pt>
                <c:pt idx="32">
                  <c:v>9.0000000000012292E-4</c:v>
                </c:pt>
                <c:pt idx="33">
                  <c:v>3.7500000000001421E-4</c:v>
                </c:pt>
                <c:pt idx="34">
                  <c:v>6.2499999999987566E-4</c:v>
                </c:pt>
                <c:pt idx="35">
                  <c:v>8.7500000000018119E-4</c:v>
                </c:pt>
                <c:pt idx="36">
                  <c:v>5.9999999999993392E-4</c:v>
                </c:pt>
                <c:pt idx="37">
                  <c:v>6.7499999999975913E-4</c:v>
                </c:pt>
                <c:pt idx="38">
                  <c:v>7.249999999996426E-4</c:v>
                </c:pt>
                <c:pt idx="39">
                  <c:v>5.0000000000016698E-4</c:v>
                </c:pt>
                <c:pt idx="40">
                  <c:v>3.4999999999962839E-4</c:v>
                </c:pt>
                <c:pt idx="41">
                  <c:v>1.9999999999997797E-4</c:v>
                </c:pt>
                <c:pt idx="42">
                  <c:v>2.7499999999980318E-4</c:v>
                </c:pt>
                <c:pt idx="43">
                  <c:v>3.2500000000013074E-4</c:v>
                </c:pt>
                <c:pt idx="44">
                  <c:v>2.7499999999980318E-4</c:v>
                </c:pt>
                <c:pt idx="45">
                  <c:v>3.4999999999962839E-4</c:v>
                </c:pt>
                <c:pt idx="46">
                  <c:v>3.9999999999995595E-4</c:v>
                </c:pt>
                <c:pt idx="47">
                  <c:v>2.2499999999991971E-4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42336"/>
        <c:axId val="592142912"/>
      </c:scatterChart>
      <c:valAx>
        <c:axId val="592142336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592142912"/>
        <c:crossesAt val="0"/>
        <c:crossBetween val="midCat"/>
        <c:majorUnit val="22.5"/>
      </c:valAx>
      <c:valAx>
        <c:axId val="592142912"/>
        <c:scaling>
          <c:orientation val="minMax"/>
          <c:max val="1.2000000000000003E-3"/>
          <c:min val="-2.0000000000000006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92142336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ARP-2000 Bolts @ 45 Ft/Lbs Delta vs. OEM Bolts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ReMfg Rods, ARP-2000, 45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('ARP-2000 Rod Bolts'!$Q$112:$X$112,'ARP-2000 Rod Bolts'!$Q$113:$X$113,'ARP-2000 Rod Bolts'!$Q$114:$X$114,'ARP-2000 Rod Bolts'!$Q$115:$X$115,'ARP-2000 Rod Bolts'!$Q$116:$X$116,'ARP-2000 Rod Bolts'!$Q$117:$X$117,'ARP-2000 Rod Bolts'!$Q$118:$X$118)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('ARP-2000 Rod Bolts'!$Y$112:$AF$112,'ARP-2000 Rod Bolts'!$Y$113:$AF$113,'ARP-2000 Rod Bolts'!$Y$114:$AF$114,'ARP-2000 Rod Bolts'!$Y$115:$AF$115,'ARP-2000 Rod Bolts'!$Y$116:$AF$116,'ARP-2000 Rod Bolts'!$Y$117:$AF$117,'ARP-2000 Rod Bolts'!$Y$118:$AF$118)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3.5624999999972484E-4</c:v>
                </c:pt>
                <c:pt idx="9">
                  <c:v>2.0625000000007443E-4</c:v>
                </c:pt>
                <c:pt idx="10">
                  <c:v>2.8124999999989964E-4</c:v>
                </c:pt>
                <c:pt idx="11">
                  <c:v>3.312500000002272E-4</c:v>
                </c:pt>
                <c:pt idx="12">
                  <c:v>2.8124999999989964E-4</c:v>
                </c:pt>
                <c:pt idx="13">
                  <c:v>3.5624999999972484E-4</c:v>
                </c:pt>
                <c:pt idx="14">
                  <c:v>4.062500000000524E-4</c:v>
                </c:pt>
                <c:pt idx="15">
                  <c:v>2.3125000000001616E-4</c:v>
                </c:pt>
                <c:pt idx="16">
                  <c:v>9.5312500000016565E-4</c:v>
                </c:pt>
                <c:pt idx="17">
                  <c:v>4.2812500000005693E-4</c:v>
                </c:pt>
                <c:pt idx="18">
                  <c:v>6.7812499999991838E-4</c:v>
                </c:pt>
                <c:pt idx="19">
                  <c:v>9.2812500000022391E-4</c:v>
                </c:pt>
                <c:pt idx="20">
                  <c:v>6.5312499999997664E-4</c:v>
                </c:pt>
                <c:pt idx="21">
                  <c:v>7.2812499999980185E-4</c:v>
                </c:pt>
                <c:pt idx="22">
                  <c:v>7.7812499999968532E-4</c:v>
                </c:pt>
                <c:pt idx="23">
                  <c:v>5.531250000002097E-4</c:v>
                </c:pt>
                <c:pt idx="24">
                  <c:v>1.2374999999998915E-3</c:v>
                </c:pt>
                <c:pt idx="25">
                  <c:v>6.3749999999995755E-4</c:v>
                </c:pt>
                <c:pt idx="26">
                  <c:v>9.1249999999976072E-4</c:v>
                </c:pt>
                <c:pt idx="27">
                  <c:v>1.1125000000001828E-3</c:v>
                </c:pt>
                <c:pt idx="28">
                  <c:v>9.8750000000003002E-4</c:v>
                </c:pt>
                <c:pt idx="29">
                  <c:v>1.0124999999999718E-3</c:v>
                </c:pt>
                <c:pt idx="30">
                  <c:v>1.0624999999998552E-3</c:v>
                </c:pt>
                <c:pt idx="31">
                  <c:v>7.6250000000011031E-4</c:v>
                </c:pt>
                <c:pt idx="32">
                  <c:v>9.5312500000016565E-4</c:v>
                </c:pt>
                <c:pt idx="33">
                  <c:v>4.2812500000005693E-4</c:v>
                </c:pt>
                <c:pt idx="34">
                  <c:v>6.7812499999991838E-4</c:v>
                </c:pt>
                <c:pt idx="35">
                  <c:v>9.2812500000022391E-4</c:v>
                </c:pt>
                <c:pt idx="36">
                  <c:v>6.5312499999997664E-4</c:v>
                </c:pt>
                <c:pt idx="37">
                  <c:v>7.2812499999980185E-4</c:v>
                </c:pt>
                <c:pt idx="38">
                  <c:v>7.7812499999968532E-4</c:v>
                </c:pt>
                <c:pt idx="39">
                  <c:v>5.531250000002097E-4</c:v>
                </c:pt>
                <c:pt idx="40">
                  <c:v>3.5624999999972484E-4</c:v>
                </c:pt>
                <c:pt idx="41">
                  <c:v>2.0625000000007443E-4</c:v>
                </c:pt>
                <c:pt idx="42">
                  <c:v>2.8124999999989964E-4</c:v>
                </c:pt>
                <c:pt idx="43">
                  <c:v>3.312500000002272E-4</c:v>
                </c:pt>
                <c:pt idx="44">
                  <c:v>2.8124999999989964E-4</c:v>
                </c:pt>
                <c:pt idx="45">
                  <c:v>3.5624999999972484E-4</c:v>
                </c:pt>
                <c:pt idx="46">
                  <c:v>4.062500000000524E-4</c:v>
                </c:pt>
                <c:pt idx="47">
                  <c:v>2.3125000000001616E-4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44640"/>
        <c:axId val="592145216"/>
      </c:scatterChart>
      <c:valAx>
        <c:axId val="59214464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592145216"/>
        <c:crossesAt val="0"/>
        <c:crossBetween val="midCat"/>
        <c:majorUnit val="22.5"/>
      </c:valAx>
      <c:valAx>
        <c:axId val="592145216"/>
        <c:scaling>
          <c:orientation val="minMax"/>
          <c:max val="1.2000000000000003E-3"/>
          <c:min val="-2.0000000000000006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9214464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ARP-625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ARP-625, 60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Bolts'!$Q$4:$X$4,'ARP-625 Rod Bolts'!$Q$5:$X$5,'ARP-625 Rod Bolts'!$Q$6:$X$6,'ARP-625 Rod Bolts'!$Q$7:$X$7,'ARP-625 Rod Bolts'!$Q$8:$X$8,'ARP-625 Rod Bolts'!$Q$9:$X$9,'ARP-625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Bolts'!$Y$4:$AF$4,'ARP-625 Rod Bolts'!$Y$5:$AF$5,'ARP-625 Rod Bolts'!$Y$6:$AF$6,'ARP-625 Rod Bolts'!$Y$7:$AF$7,'ARP-625 Rod Bolts'!$Y$8:$AF$8,'ARP-625 Rod Bolts'!$Y$9:$AF$9,'ARP-625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-3.2500000000013074E-4</c:v>
                </c:pt>
                <c:pt idx="9">
                  <c:v>-1.7500000000003624E-4</c:v>
                </c:pt>
                <c:pt idx="10">
                  <c:v>-1.0000000000021103E-4</c:v>
                </c:pt>
                <c:pt idx="11">
                  <c:v>-3.2499999999968665E-4</c:v>
                </c:pt>
                <c:pt idx="12">
                  <c:v>-1.2500000000015277E-4</c:v>
                </c:pt>
                <c:pt idx="13">
                  <c:v>-1.9999999999953388E-4</c:v>
                </c:pt>
                <c:pt idx="14">
                  <c:v>-3.00000000000189E-4</c:v>
                </c:pt>
                <c:pt idx="15">
                  <c:v>-3.00000000000189E-4</c:v>
                </c:pt>
                <c:pt idx="16">
                  <c:v>-7.5000000000002842E-4</c:v>
                </c:pt>
                <c:pt idx="17">
                  <c:v>-5.9999999999993392E-4</c:v>
                </c:pt>
                <c:pt idx="18">
                  <c:v>-3.5000000000007248E-4</c:v>
                </c:pt>
                <c:pt idx="19">
                  <c:v>-7.5000000000002842E-4</c:v>
                </c:pt>
                <c:pt idx="20">
                  <c:v>-5.9999999999993392E-4</c:v>
                </c:pt>
                <c:pt idx="21">
                  <c:v>-4.9999999999972289E-4</c:v>
                </c:pt>
                <c:pt idx="22">
                  <c:v>-5.9999999999993392E-4</c:v>
                </c:pt>
                <c:pt idx="23">
                  <c:v>-5.7499999999999218E-4</c:v>
                </c:pt>
                <c:pt idx="24">
                  <c:v>-8.749999999997371E-4</c:v>
                </c:pt>
                <c:pt idx="25">
                  <c:v>-7.9999999999991189E-4</c:v>
                </c:pt>
                <c:pt idx="26">
                  <c:v>-3.5000000000007248E-4</c:v>
                </c:pt>
                <c:pt idx="27">
                  <c:v>-8.9999999999967883E-4</c:v>
                </c:pt>
                <c:pt idx="28">
                  <c:v>-7.9999999999991189E-4</c:v>
                </c:pt>
                <c:pt idx="29">
                  <c:v>-7.9999999999991189E-4</c:v>
                </c:pt>
                <c:pt idx="30">
                  <c:v>-7.5000000000002842E-4</c:v>
                </c:pt>
                <c:pt idx="31">
                  <c:v>-7.7499999999997016E-4</c:v>
                </c:pt>
                <c:pt idx="32">
                  <c:v>-7.5000000000002842E-4</c:v>
                </c:pt>
                <c:pt idx="33">
                  <c:v>-5.9999999999993392E-4</c:v>
                </c:pt>
                <c:pt idx="34">
                  <c:v>-3.5000000000007248E-4</c:v>
                </c:pt>
                <c:pt idx="35">
                  <c:v>-7.5000000000002842E-4</c:v>
                </c:pt>
                <c:pt idx="36">
                  <c:v>-5.9999999999993392E-4</c:v>
                </c:pt>
                <c:pt idx="37">
                  <c:v>-4.9999999999972289E-4</c:v>
                </c:pt>
                <c:pt idx="38">
                  <c:v>-5.9999999999993392E-4</c:v>
                </c:pt>
                <c:pt idx="39">
                  <c:v>-5.7499999999999218E-4</c:v>
                </c:pt>
                <c:pt idx="40">
                  <c:v>-3.2500000000013074E-4</c:v>
                </c:pt>
                <c:pt idx="41">
                  <c:v>-1.7500000000003624E-4</c:v>
                </c:pt>
                <c:pt idx="42">
                  <c:v>-1.0000000000021103E-4</c:v>
                </c:pt>
                <c:pt idx="43">
                  <c:v>-3.2499999999968665E-4</c:v>
                </c:pt>
                <c:pt idx="44">
                  <c:v>-1.2500000000015277E-4</c:v>
                </c:pt>
                <c:pt idx="45">
                  <c:v>-1.9999999999953388E-4</c:v>
                </c:pt>
                <c:pt idx="46">
                  <c:v>-3.00000000000189E-4</c:v>
                </c:pt>
                <c:pt idx="47">
                  <c:v>-3.00000000000189E-4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ARP-625, 55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Bolts'!$Q$21:$X$21,'ARP-625 Rod Bolts'!$Q$22:$X$22,'ARP-625 Rod Bolts'!$Q$23:$X$23,'ARP-625 Rod Bolts'!$Q$24:$X$24,'ARP-625 Rod Bolts'!$Q$25:$X$25,'ARP-625 Rod Bolts'!$Q$26:$X$26,'ARP-625 Rod Bolts'!$Q$27:$X$27)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Bolts'!$Y$21:$AF$21,'ARP-625 Rod Bolts'!$Y$22:$AF$22,'ARP-625 Rod Bolts'!$Y$23:$AF$23,'ARP-625 Rod Bolts'!$Y$24:$AF$24,'ARP-625 Rod Bolts'!$Y$25:$AF$25,'ARP-625 Rod Bolts'!$Y$26:$AF$26,'ARP-625 Rod Bolts'!$Y$27:$AF$27)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-1.7499999999959215E-4</c:v>
                </c:pt>
                <c:pt idx="9">
                  <c:v>-1.2499999999970868E-4</c:v>
                </c:pt>
                <c:pt idx="10">
                  <c:v>-1.0000000000021103E-4</c:v>
                </c:pt>
                <c:pt idx="11">
                  <c:v>-1.500000000000945E-4</c:v>
                </c:pt>
                <c:pt idx="12">
                  <c:v>-1.2499999999970868E-4</c:v>
                </c:pt>
                <c:pt idx="13">
                  <c:v>-1.9999999999953388E-4</c:v>
                </c:pt>
                <c:pt idx="14">
                  <c:v>-1.2499999999970868E-4</c:v>
                </c:pt>
                <c:pt idx="15">
                  <c:v>-2.2499999999991971E-4</c:v>
                </c:pt>
                <c:pt idx="16">
                  <c:v>-5.4999999999960636E-4</c:v>
                </c:pt>
                <c:pt idx="17">
                  <c:v>-4.7499999999978115E-4</c:v>
                </c:pt>
                <c:pt idx="18">
                  <c:v>-1.9999999999997797E-4</c:v>
                </c:pt>
                <c:pt idx="19">
                  <c:v>-5.2500000000010871E-4</c:v>
                </c:pt>
                <c:pt idx="20">
                  <c:v>-4.4999999999983942E-4</c:v>
                </c:pt>
                <c:pt idx="21">
                  <c:v>-3.9999999999951186E-4</c:v>
                </c:pt>
                <c:pt idx="22">
                  <c:v>-4.4999999999983942E-4</c:v>
                </c:pt>
                <c:pt idx="23">
                  <c:v>-3.5000000000007248E-4</c:v>
                </c:pt>
                <c:pt idx="24">
                  <c:v>-6.4999999999981739E-4</c:v>
                </c:pt>
                <c:pt idx="25">
                  <c:v>-6.4999999999981739E-4</c:v>
                </c:pt>
                <c:pt idx="26">
                  <c:v>-3.9999999999995595E-4</c:v>
                </c:pt>
                <c:pt idx="27">
                  <c:v>-7.5000000000002842E-4</c:v>
                </c:pt>
                <c:pt idx="28">
                  <c:v>-4.4999999999983942E-4</c:v>
                </c:pt>
                <c:pt idx="29">
                  <c:v>-7.999999999994678E-4</c:v>
                </c:pt>
                <c:pt idx="30">
                  <c:v>-5.2499999999966462E-4</c:v>
                </c:pt>
                <c:pt idx="31">
                  <c:v>-3.9999999999995595E-4</c:v>
                </c:pt>
                <c:pt idx="32">
                  <c:v>-5.4999999999960636E-4</c:v>
                </c:pt>
                <c:pt idx="33">
                  <c:v>-4.7499999999978115E-4</c:v>
                </c:pt>
                <c:pt idx="34">
                  <c:v>-1.9999999999997797E-4</c:v>
                </c:pt>
                <c:pt idx="35">
                  <c:v>-5.2500000000010871E-4</c:v>
                </c:pt>
                <c:pt idx="36">
                  <c:v>-4.4999999999983942E-4</c:v>
                </c:pt>
                <c:pt idx="37">
                  <c:v>-3.9999999999951186E-4</c:v>
                </c:pt>
                <c:pt idx="38">
                  <c:v>-4.4999999999983942E-4</c:v>
                </c:pt>
                <c:pt idx="39">
                  <c:v>-3.5000000000007248E-4</c:v>
                </c:pt>
                <c:pt idx="40">
                  <c:v>-1.7499999999959215E-4</c:v>
                </c:pt>
                <c:pt idx="41">
                  <c:v>-1.2499999999970868E-4</c:v>
                </c:pt>
                <c:pt idx="42">
                  <c:v>-1.0000000000021103E-4</c:v>
                </c:pt>
                <c:pt idx="43">
                  <c:v>-1.500000000000945E-4</c:v>
                </c:pt>
                <c:pt idx="44">
                  <c:v>-1.2499999999970868E-4</c:v>
                </c:pt>
                <c:pt idx="45">
                  <c:v>-1.9999999999953388E-4</c:v>
                </c:pt>
                <c:pt idx="46">
                  <c:v>-1.2499999999970868E-4</c:v>
                </c:pt>
                <c:pt idx="47">
                  <c:v>-2.2499999999991971E-4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ARP-625,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Bolts'!$Q$40:$X$40,'ARP-625 Rod Bolts'!$Q$41:$X$41,'ARP-625 Rod Bolts'!$Q$42:$X$42,'ARP-625 Rod Bolts'!$Q$43:$X$43,'ARP-625 Rod Bolts'!$Q$44:$X$44,'ARP-625 Rod Bolts'!$Q$45:$X$45,'ARP-625 Rod Bolts'!$Q$46:$X$46)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Bolts'!$Y$40:$AF$40,'ARP-625 Rod Bolts'!$Y$41:$AF$41,'ARP-625 Rod Bolts'!$Y$42:$AF$42,'ARP-625 Rod Bolts'!$Y$43:$AF$43,'ARP-625 Rod Bolts'!$Y$44:$AF$44,'ARP-625 Rod Bolts'!$Y$45:$AF$45,'ARP-625 Rod Bolts'!$Y$46:$AF$46)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-1.9999999999953388E-4</c:v>
                </c:pt>
                <c:pt idx="9">
                  <c:v>-1.9999999999953388E-4</c:v>
                </c:pt>
                <c:pt idx="10">
                  <c:v>0</c:v>
                </c:pt>
                <c:pt idx="11">
                  <c:v>-1.2499999999970868E-4</c:v>
                </c:pt>
                <c:pt idx="12">
                  <c:v>-1.2499999999970868E-4</c:v>
                </c:pt>
                <c:pt idx="13">
                  <c:v>-1.7500000000048033E-4</c:v>
                </c:pt>
                <c:pt idx="14">
                  <c:v>-7.4999999999825206E-5</c:v>
                </c:pt>
                <c:pt idx="15">
                  <c:v>-1.7500000000003624E-4</c:v>
                </c:pt>
                <c:pt idx="16">
                  <c:v>-3.9999999999995595E-4</c:v>
                </c:pt>
                <c:pt idx="17">
                  <c:v>-4.4999999999983942E-4</c:v>
                </c:pt>
                <c:pt idx="18">
                  <c:v>-1.2499999999970868E-4</c:v>
                </c:pt>
                <c:pt idx="19">
                  <c:v>-3.7500000000001421E-4</c:v>
                </c:pt>
                <c:pt idx="20">
                  <c:v>-2.250000000003638E-4</c:v>
                </c:pt>
                <c:pt idx="21">
                  <c:v>-4.7500000000022524E-4</c:v>
                </c:pt>
                <c:pt idx="22">
                  <c:v>-2.4999999999986144E-4</c:v>
                </c:pt>
                <c:pt idx="23">
                  <c:v>-2.250000000003638E-4</c:v>
                </c:pt>
                <c:pt idx="24">
                  <c:v>-4.9999999999972289E-4</c:v>
                </c:pt>
                <c:pt idx="25">
                  <c:v>-5.4999999999960636E-4</c:v>
                </c:pt>
                <c:pt idx="26">
                  <c:v>-1.9999999999997797E-4</c:v>
                </c:pt>
                <c:pt idx="27">
                  <c:v>-5.2499999999966462E-4</c:v>
                </c:pt>
                <c:pt idx="28">
                  <c:v>-2.4999999999986144E-4</c:v>
                </c:pt>
                <c:pt idx="29">
                  <c:v>-5.7500000000043627E-4</c:v>
                </c:pt>
                <c:pt idx="30">
                  <c:v>-3.5000000000007248E-4</c:v>
                </c:pt>
                <c:pt idx="31">
                  <c:v>-3.7500000000001421E-4</c:v>
                </c:pt>
                <c:pt idx="32">
                  <c:v>-3.9999999999995595E-4</c:v>
                </c:pt>
                <c:pt idx="33">
                  <c:v>-4.4999999999983942E-4</c:v>
                </c:pt>
                <c:pt idx="34">
                  <c:v>-1.2499999999970868E-4</c:v>
                </c:pt>
                <c:pt idx="35">
                  <c:v>-3.7500000000001421E-4</c:v>
                </c:pt>
                <c:pt idx="36">
                  <c:v>-2.250000000003638E-4</c:v>
                </c:pt>
                <c:pt idx="37">
                  <c:v>-4.7500000000022524E-4</c:v>
                </c:pt>
                <c:pt idx="38">
                  <c:v>-2.4999999999986144E-4</c:v>
                </c:pt>
                <c:pt idx="39">
                  <c:v>-2.250000000003638E-4</c:v>
                </c:pt>
                <c:pt idx="40">
                  <c:v>-1.9999999999953388E-4</c:v>
                </c:pt>
                <c:pt idx="41">
                  <c:v>-1.9999999999953388E-4</c:v>
                </c:pt>
                <c:pt idx="42">
                  <c:v>0</c:v>
                </c:pt>
                <c:pt idx="43">
                  <c:v>-1.2499999999970868E-4</c:v>
                </c:pt>
                <c:pt idx="44">
                  <c:v>-1.2499999999970868E-4</c:v>
                </c:pt>
                <c:pt idx="45">
                  <c:v>-1.7500000000048033E-4</c:v>
                </c:pt>
                <c:pt idx="46">
                  <c:v>-7.4999999999825206E-5</c:v>
                </c:pt>
                <c:pt idx="47">
                  <c:v>-1.7500000000003624E-4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46944"/>
        <c:axId val="592147520"/>
      </c:scatterChart>
      <c:valAx>
        <c:axId val="59214694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592147520"/>
        <c:crossesAt val="0"/>
        <c:crossBetween val="midCat"/>
        <c:majorUnit val="22.5"/>
      </c:valAx>
      <c:valAx>
        <c:axId val="592147520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9214694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Rod Big-End Eccentricity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Bolts'!$Q$34:$X$34,'Connecting Rod Bolts'!$Q$35:$X$35,'Connecting Rod Bolts'!$Q$36:$X$36,'Connecting Rod Bolts'!$Q$37:$X$37,'Connecting Rod Bolts'!$Q$38:$X$38,'Connecting Rod Bolts'!$Q$39:$X$39,'Connecting Rod Bolts'!$Q$40:$X$40)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Bolts'!$Y$34:$AF$34,'Connecting Rod Bolts'!$Y$35:$AF$35,'Connecting Rod Bolts'!$Y$36:$AF$36,'Connecting Rod Bolts'!$Y$37:$AF$37,'Connecting Rod Bolts'!$Y$38:$AF$38,'Connecting Rod Bolts'!$Y$39:$AF$39,'Connecting Rod Bolts'!$Y$40:$AF$40)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999360"/>
        <c:axId val="701002240"/>
      </c:scatterChart>
      <c:valAx>
        <c:axId val="70099936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701002240"/>
        <c:crossesAt val="0"/>
        <c:crossBetween val="midCat"/>
        <c:majorUnit val="22.5"/>
      </c:valAx>
      <c:valAx>
        <c:axId val="701002240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099936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ARP-625 Bolts @ 60 Ft/Lbs Delta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ARP-625, 60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Bolts'!$Q$11:$X$11,'ARP-625 Rod Bolts'!$Q$12:$X$12,'ARP-625 Rod Bolts'!$Q$13:$X$13,'ARP-625 Rod Bolts'!$Q$14:$X$14,'ARP-625 Rod Bolts'!$Q$15:$X$15,'ARP-625 Rod Bolts'!$Q$16:$X$16,'ARP-625 Rod Bolts'!$Q$17:$X$17)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Bolts'!$Y$11:$AF$11,'ARP-625 Rod Bolts'!$Y$12:$AF$12,'ARP-625 Rod Bolts'!$Y$13:$AF$13,'ARP-625 Rod Bolts'!$Y$14:$AF$14,'ARP-625 Rod Bolts'!$Y$15:$AF$15,'ARP-625 Rod Bolts'!$Y$16:$AF$16,'ARP-625 Rod Bolts'!$Y$17:$AF$17)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-2.8437500000000338E-4</c:v>
                </c:pt>
                <c:pt idx="9">
                  <c:v>-1.3437499999990887E-4</c:v>
                </c:pt>
                <c:pt idx="10">
                  <c:v>-5.9375000000083666E-5</c:v>
                </c:pt>
                <c:pt idx="11">
                  <c:v>-2.8437499999955929E-4</c:v>
                </c:pt>
                <c:pt idx="12">
                  <c:v>-8.4375000000025402E-5</c:v>
                </c:pt>
                <c:pt idx="13">
                  <c:v>-1.5937499999940652E-4</c:v>
                </c:pt>
                <c:pt idx="14">
                  <c:v>-2.5937500000006164E-4</c:v>
                </c:pt>
                <c:pt idx="15">
                  <c:v>-2.5937500000006164E-4</c:v>
                </c:pt>
                <c:pt idx="16">
                  <c:v>-5.9687500000005222E-4</c:v>
                </c:pt>
                <c:pt idx="17">
                  <c:v>-4.4687499999995772E-4</c:v>
                </c:pt>
                <c:pt idx="18">
                  <c:v>-1.9687500000009628E-4</c:v>
                </c:pt>
                <c:pt idx="19">
                  <c:v>-5.9687500000005222E-4</c:v>
                </c:pt>
                <c:pt idx="20">
                  <c:v>-4.4687499999995772E-4</c:v>
                </c:pt>
                <c:pt idx="21">
                  <c:v>-3.4687499999974669E-4</c:v>
                </c:pt>
                <c:pt idx="22">
                  <c:v>-4.4687499999995772E-4</c:v>
                </c:pt>
                <c:pt idx="23">
                  <c:v>-4.2187500000001599E-4</c:v>
                </c:pt>
                <c:pt idx="24">
                  <c:v>-6.4999999999976188E-4</c:v>
                </c:pt>
                <c:pt idx="25">
                  <c:v>-5.7499999999993667E-4</c:v>
                </c:pt>
                <c:pt idx="26">
                  <c:v>-1.2500000000009726E-4</c:v>
                </c:pt>
                <c:pt idx="27">
                  <c:v>-6.7499999999970361E-4</c:v>
                </c:pt>
                <c:pt idx="28">
                  <c:v>-5.7499999999993667E-4</c:v>
                </c:pt>
                <c:pt idx="29">
                  <c:v>-5.7499999999993667E-4</c:v>
                </c:pt>
                <c:pt idx="30">
                  <c:v>-5.250000000000532E-4</c:v>
                </c:pt>
                <c:pt idx="31">
                  <c:v>-5.4999999999999494E-4</c:v>
                </c:pt>
                <c:pt idx="32">
                  <c:v>-5.9687500000005222E-4</c:v>
                </c:pt>
                <c:pt idx="33">
                  <c:v>-4.4687499999995772E-4</c:v>
                </c:pt>
                <c:pt idx="34">
                  <c:v>-1.9687500000009628E-4</c:v>
                </c:pt>
                <c:pt idx="35">
                  <c:v>-5.9687500000005222E-4</c:v>
                </c:pt>
                <c:pt idx="36">
                  <c:v>-4.4687499999995772E-4</c:v>
                </c:pt>
                <c:pt idx="37">
                  <c:v>-3.4687499999974669E-4</c:v>
                </c:pt>
                <c:pt idx="38">
                  <c:v>-4.4687499999995772E-4</c:v>
                </c:pt>
                <c:pt idx="39">
                  <c:v>-4.2187500000001599E-4</c:v>
                </c:pt>
                <c:pt idx="40">
                  <c:v>-2.8437500000000338E-4</c:v>
                </c:pt>
                <c:pt idx="41">
                  <c:v>-1.3437499999990887E-4</c:v>
                </c:pt>
                <c:pt idx="42">
                  <c:v>-5.9375000000083666E-5</c:v>
                </c:pt>
                <c:pt idx="43">
                  <c:v>-2.8437499999955929E-4</c:v>
                </c:pt>
                <c:pt idx="44">
                  <c:v>-8.4375000000025402E-5</c:v>
                </c:pt>
                <c:pt idx="45">
                  <c:v>-1.5937499999940652E-4</c:v>
                </c:pt>
                <c:pt idx="46">
                  <c:v>-2.5937500000006164E-4</c:v>
                </c:pt>
                <c:pt idx="47">
                  <c:v>-2.5937500000006164E-4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49824"/>
        <c:axId val="677232640"/>
      </c:scatterChart>
      <c:valAx>
        <c:axId val="59214982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232640"/>
        <c:crossesAt val="0"/>
        <c:crossBetween val="midCat"/>
        <c:majorUnit val="22.5"/>
      </c:valAx>
      <c:valAx>
        <c:axId val="677232640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59214982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ARP-625 Bolts @ 60, 55, 50 Ft/Lbs Delta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ARP-625, 60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Bolts'!$Q$11:$X$11,'ARP-625 Rod Bolts'!$Q$12:$X$12,'ARP-625 Rod Bolts'!$Q$13:$X$13,'ARP-625 Rod Bolts'!$Q$14:$X$14,'ARP-625 Rod Bolts'!$Q$15:$X$15,'ARP-625 Rod Bolts'!$Q$16:$X$16,'ARP-625 Rod Bolts'!$Q$17:$X$17)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Bolts'!$Y$11:$AF$11,'ARP-625 Rod Bolts'!$Y$12:$AF$12,'ARP-625 Rod Bolts'!$Y$13:$AF$13,'ARP-625 Rod Bolts'!$Y$14:$AF$14,'ARP-625 Rod Bolts'!$Y$15:$AF$15,'ARP-625 Rod Bolts'!$Y$16:$AF$16,'ARP-625 Rod Bolts'!$Y$17:$AF$17)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-2.8437500000000338E-4</c:v>
                </c:pt>
                <c:pt idx="9">
                  <c:v>-1.3437499999990887E-4</c:v>
                </c:pt>
                <c:pt idx="10">
                  <c:v>-5.9375000000083666E-5</c:v>
                </c:pt>
                <c:pt idx="11">
                  <c:v>-2.8437499999955929E-4</c:v>
                </c:pt>
                <c:pt idx="12">
                  <c:v>-8.4375000000025402E-5</c:v>
                </c:pt>
                <c:pt idx="13">
                  <c:v>-1.5937499999940652E-4</c:v>
                </c:pt>
                <c:pt idx="14">
                  <c:v>-2.5937500000006164E-4</c:v>
                </c:pt>
                <c:pt idx="15">
                  <c:v>-2.5937500000006164E-4</c:v>
                </c:pt>
                <c:pt idx="16">
                  <c:v>-5.9687500000005222E-4</c:v>
                </c:pt>
                <c:pt idx="17">
                  <c:v>-4.4687499999995772E-4</c:v>
                </c:pt>
                <c:pt idx="18">
                  <c:v>-1.9687500000009628E-4</c:v>
                </c:pt>
                <c:pt idx="19">
                  <c:v>-5.9687500000005222E-4</c:v>
                </c:pt>
                <c:pt idx="20">
                  <c:v>-4.4687499999995772E-4</c:v>
                </c:pt>
                <c:pt idx="21">
                  <c:v>-3.4687499999974669E-4</c:v>
                </c:pt>
                <c:pt idx="22">
                  <c:v>-4.4687499999995772E-4</c:v>
                </c:pt>
                <c:pt idx="23">
                  <c:v>-4.2187500000001599E-4</c:v>
                </c:pt>
                <c:pt idx="24">
                  <c:v>-6.4999999999976188E-4</c:v>
                </c:pt>
                <c:pt idx="25">
                  <c:v>-5.7499999999993667E-4</c:v>
                </c:pt>
                <c:pt idx="26">
                  <c:v>-1.2500000000009726E-4</c:v>
                </c:pt>
                <c:pt idx="27">
                  <c:v>-6.7499999999970361E-4</c:v>
                </c:pt>
                <c:pt idx="28">
                  <c:v>-5.7499999999993667E-4</c:v>
                </c:pt>
                <c:pt idx="29">
                  <c:v>-5.7499999999993667E-4</c:v>
                </c:pt>
                <c:pt idx="30">
                  <c:v>-5.250000000000532E-4</c:v>
                </c:pt>
                <c:pt idx="31">
                  <c:v>-5.4999999999999494E-4</c:v>
                </c:pt>
                <c:pt idx="32">
                  <c:v>-5.9687500000005222E-4</c:v>
                </c:pt>
                <c:pt idx="33">
                  <c:v>-4.4687499999995772E-4</c:v>
                </c:pt>
                <c:pt idx="34">
                  <c:v>-1.9687500000009628E-4</c:v>
                </c:pt>
                <c:pt idx="35">
                  <c:v>-5.9687500000005222E-4</c:v>
                </c:pt>
                <c:pt idx="36">
                  <c:v>-4.4687499999995772E-4</c:v>
                </c:pt>
                <c:pt idx="37">
                  <c:v>-3.4687499999974669E-4</c:v>
                </c:pt>
                <c:pt idx="38">
                  <c:v>-4.4687499999995772E-4</c:v>
                </c:pt>
                <c:pt idx="39">
                  <c:v>-4.2187500000001599E-4</c:v>
                </c:pt>
                <c:pt idx="40">
                  <c:v>-2.8437500000000338E-4</c:v>
                </c:pt>
                <c:pt idx="41">
                  <c:v>-1.3437499999990887E-4</c:v>
                </c:pt>
                <c:pt idx="42">
                  <c:v>-5.9375000000083666E-5</c:v>
                </c:pt>
                <c:pt idx="43">
                  <c:v>-2.8437499999955929E-4</c:v>
                </c:pt>
                <c:pt idx="44">
                  <c:v>-8.4375000000025402E-5</c:v>
                </c:pt>
                <c:pt idx="45">
                  <c:v>-1.5937499999940652E-4</c:v>
                </c:pt>
                <c:pt idx="46">
                  <c:v>-2.5937500000006164E-4</c:v>
                </c:pt>
                <c:pt idx="47">
                  <c:v>-2.5937500000006164E-4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ARP-625, 55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Bolts'!$Q$28:$X$28,'ARP-625 Rod Bolts'!$Q$29:$X$29,'ARP-625 Rod Bolts'!$Q$30:$X$30,'ARP-625 Rod Bolts'!$Q$31:$X$31,'ARP-625 Rod Bolts'!$Q$32:$X$32,'ARP-625 Rod Bolts'!$Q$33:$X$33,'ARP-625 Rod Bolts'!$Q$34:$X$34)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Bolts'!$Y$28:$AF$28,'ARP-625 Rod Bolts'!$Y$29:$AF$29,'ARP-625 Rod Bolts'!$Y$30:$AF$30,'ARP-625 Rod Bolts'!$Y$31:$AF$31,'ARP-625 Rod Bolts'!$Y$32:$AF$32,'ARP-625 Rod Bolts'!$Y$33:$AF$33,'ARP-625 Rod Bolts'!$Y$34:$AF$34)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-1.3437499999946478E-4</c:v>
                </c:pt>
                <c:pt idx="9">
                  <c:v>-8.4374999999581313E-5</c:v>
                </c:pt>
                <c:pt idx="10">
                  <c:v>-5.9375000000083666E-5</c:v>
                </c:pt>
                <c:pt idx="11">
                  <c:v>-1.0937499999996714E-4</c:v>
                </c:pt>
                <c:pt idx="12">
                  <c:v>-8.4374999999581313E-5</c:v>
                </c:pt>
                <c:pt idx="13">
                  <c:v>-1.5937499999940652E-4</c:v>
                </c:pt>
                <c:pt idx="14">
                  <c:v>-8.4374999999581313E-5</c:v>
                </c:pt>
                <c:pt idx="15">
                  <c:v>-1.8437499999979234E-4</c:v>
                </c:pt>
                <c:pt idx="16">
                  <c:v>-3.9687499999963016E-4</c:v>
                </c:pt>
                <c:pt idx="17">
                  <c:v>-3.2187499999980496E-4</c:v>
                </c:pt>
                <c:pt idx="18">
                  <c:v>-4.6875000000001776E-5</c:v>
                </c:pt>
                <c:pt idx="19">
                  <c:v>-3.7187500000013252E-4</c:v>
                </c:pt>
                <c:pt idx="20">
                  <c:v>-2.9687499999986322E-4</c:v>
                </c:pt>
                <c:pt idx="21">
                  <c:v>-2.4687499999953566E-4</c:v>
                </c:pt>
                <c:pt idx="22">
                  <c:v>-2.9687499999986322E-4</c:v>
                </c:pt>
                <c:pt idx="23">
                  <c:v>-1.9687500000009628E-4</c:v>
                </c:pt>
                <c:pt idx="24">
                  <c:v>-4.2499999999984217E-4</c:v>
                </c:pt>
                <c:pt idx="25">
                  <c:v>-4.2499999999984217E-4</c:v>
                </c:pt>
                <c:pt idx="26">
                  <c:v>-1.7499999999998073E-4</c:v>
                </c:pt>
                <c:pt idx="27">
                  <c:v>-5.250000000000532E-4</c:v>
                </c:pt>
                <c:pt idx="28">
                  <c:v>-2.249999999998642E-4</c:v>
                </c:pt>
                <c:pt idx="29">
                  <c:v>-5.7499999999949258E-4</c:v>
                </c:pt>
                <c:pt idx="30">
                  <c:v>-2.999999999996894E-4</c:v>
                </c:pt>
                <c:pt idx="31">
                  <c:v>-1.7499999999998073E-4</c:v>
                </c:pt>
                <c:pt idx="32">
                  <c:v>-3.9687499999963016E-4</c:v>
                </c:pt>
                <c:pt idx="33">
                  <c:v>-3.2187499999980496E-4</c:v>
                </c:pt>
                <c:pt idx="34">
                  <c:v>-4.6875000000001776E-5</c:v>
                </c:pt>
                <c:pt idx="35">
                  <c:v>-3.7187500000013252E-4</c:v>
                </c:pt>
                <c:pt idx="36">
                  <c:v>-2.9687499999986322E-4</c:v>
                </c:pt>
                <c:pt idx="37">
                  <c:v>-2.4687499999953566E-4</c:v>
                </c:pt>
                <c:pt idx="38">
                  <c:v>-2.9687499999986322E-4</c:v>
                </c:pt>
                <c:pt idx="39">
                  <c:v>-1.9687500000009628E-4</c:v>
                </c:pt>
                <c:pt idx="40">
                  <c:v>-1.3437499999946478E-4</c:v>
                </c:pt>
                <c:pt idx="41">
                  <c:v>-8.4374999999581313E-5</c:v>
                </c:pt>
                <c:pt idx="42">
                  <c:v>-5.9375000000083666E-5</c:v>
                </c:pt>
                <c:pt idx="43">
                  <c:v>-1.0937499999996714E-4</c:v>
                </c:pt>
                <c:pt idx="44">
                  <c:v>-8.4374999999581313E-5</c:v>
                </c:pt>
                <c:pt idx="45">
                  <c:v>-1.5937499999940652E-4</c:v>
                </c:pt>
                <c:pt idx="46">
                  <c:v>-8.4374999999581313E-5</c:v>
                </c:pt>
                <c:pt idx="47">
                  <c:v>-1.8437499999979234E-4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ARP-625,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Bolts'!$Q$47:$X$47,'ARP-625 Rod Bolts'!$Q$48:$X$48,'ARP-625 Rod Bolts'!$Q$49:$X$49,'ARP-625 Rod Bolts'!$Q$50:$X$50,'ARP-625 Rod Bolts'!$Q$51:$X$51,'ARP-625 Rod Bolts'!$Q$52:$X$52,'ARP-625 Rod Bolts'!$Q$53:$X$53)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Bolts'!$Y$47:$AF$47,'ARP-625 Rod Bolts'!$Y$48:$AF$48,'ARP-625 Rod Bolts'!$Y$49:$AF$49,'ARP-625 Rod Bolts'!$Y$50:$AF$50,'ARP-625 Rod Bolts'!$Y$51:$AF$51,'ARP-625 Rod Bolts'!$Y$52:$AF$52,'ARP-625 Rod Bolts'!$Y$53:$AF$53)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-1.5937499999940652E-4</c:v>
                </c:pt>
                <c:pt idx="9">
                  <c:v>-1.5937499999940652E-4</c:v>
                </c:pt>
                <c:pt idx="10">
                  <c:v>4.0625000000127365E-5</c:v>
                </c:pt>
                <c:pt idx="11">
                  <c:v>-8.4374999999581313E-5</c:v>
                </c:pt>
                <c:pt idx="12">
                  <c:v>-8.4374999999581313E-5</c:v>
                </c:pt>
                <c:pt idx="13">
                  <c:v>-1.3437500000035296E-4</c:v>
                </c:pt>
                <c:pt idx="14">
                  <c:v>-3.4374999999697842E-5</c:v>
                </c:pt>
                <c:pt idx="15">
                  <c:v>-1.3437499999990887E-4</c:v>
                </c:pt>
                <c:pt idx="16">
                  <c:v>-2.4687499999997975E-4</c:v>
                </c:pt>
                <c:pt idx="17">
                  <c:v>-2.9687499999986322E-4</c:v>
                </c:pt>
                <c:pt idx="18">
                  <c:v>2.8125000000267519E-5</c:v>
                </c:pt>
                <c:pt idx="19">
                  <c:v>-2.2187500000003801E-4</c:v>
                </c:pt>
                <c:pt idx="20">
                  <c:v>-7.1875000000387601E-5</c:v>
                </c:pt>
                <c:pt idx="21">
                  <c:v>-3.2187500000024905E-4</c:v>
                </c:pt>
                <c:pt idx="22">
                  <c:v>-9.6874999999885247E-5</c:v>
                </c:pt>
                <c:pt idx="23">
                  <c:v>-7.1875000000387601E-5</c:v>
                </c:pt>
                <c:pt idx="24">
                  <c:v>-2.7499999999974767E-4</c:v>
                </c:pt>
                <c:pt idx="25">
                  <c:v>-3.2499999999963114E-4</c:v>
                </c:pt>
                <c:pt idx="26">
                  <c:v>2.4999999999997247E-5</c:v>
                </c:pt>
                <c:pt idx="27">
                  <c:v>-2.999999999996894E-4</c:v>
                </c:pt>
                <c:pt idx="28">
                  <c:v>-2.4999999999886224E-5</c:v>
                </c:pt>
                <c:pt idx="29">
                  <c:v>-3.5000000000046105E-4</c:v>
                </c:pt>
                <c:pt idx="30">
                  <c:v>-1.2500000000009726E-4</c:v>
                </c:pt>
                <c:pt idx="31">
                  <c:v>-1.5000000000003899E-4</c:v>
                </c:pt>
                <c:pt idx="32">
                  <c:v>-2.4687499999997975E-4</c:v>
                </c:pt>
                <c:pt idx="33">
                  <c:v>-2.9687499999986322E-4</c:v>
                </c:pt>
                <c:pt idx="34">
                  <c:v>2.8125000000267519E-5</c:v>
                </c:pt>
                <c:pt idx="35">
                  <c:v>-2.2187500000003801E-4</c:v>
                </c:pt>
                <c:pt idx="36">
                  <c:v>-7.1875000000387601E-5</c:v>
                </c:pt>
                <c:pt idx="37">
                  <c:v>-3.2187500000024905E-4</c:v>
                </c:pt>
                <c:pt idx="38">
                  <c:v>-9.6874999999885247E-5</c:v>
                </c:pt>
                <c:pt idx="39">
                  <c:v>-7.1875000000387601E-5</c:v>
                </c:pt>
                <c:pt idx="40">
                  <c:v>-1.5937499999940652E-4</c:v>
                </c:pt>
                <c:pt idx="41">
                  <c:v>-1.5937499999940652E-4</c:v>
                </c:pt>
                <c:pt idx="42">
                  <c:v>4.0625000000127365E-5</c:v>
                </c:pt>
                <c:pt idx="43">
                  <c:v>-8.4374999999581313E-5</c:v>
                </c:pt>
                <c:pt idx="44">
                  <c:v>-8.4374999999581313E-5</c:v>
                </c:pt>
                <c:pt idx="45">
                  <c:v>-1.3437500000035296E-4</c:v>
                </c:pt>
                <c:pt idx="46">
                  <c:v>-3.4374999999697842E-5</c:v>
                </c:pt>
                <c:pt idx="47">
                  <c:v>-1.3437499999990887E-4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234368"/>
        <c:axId val="677234944"/>
      </c:scatterChart>
      <c:valAx>
        <c:axId val="677234368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234944"/>
        <c:crossesAt val="0"/>
        <c:crossBetween val="midCat"/>
        <c:majorUnit val="22.5"/>
      </c:valAx>
      <c:valAx>
        <c:axId val="677234944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7234368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 OEM Rod Big-End with OEM Bolts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237248"/>
        <c:axId val="677237824"/>
      </c:scatterChart>
      <c:valAx>
        <c:axId val="677237248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237824"/>
        <c:crossesAt val="0"/>
        <c:crossBetween val="midCat"/>
        <c:majorUnit val="22.5"/>
      </c:valAx>
      <c:valAx>
        <c:axId val="677237824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7237248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Carrillo-WMC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Carrillo-WMC, 45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('Carrillo WMC Rod Bolts'!$Q$4:$X$4,'Carrillo WMC Rod Bolts'!$Q$5:$X$5,'Carrillo WMC Rod Bolts'!$Q$6:$X$6,'Carrillo WMC Rod Bolts'!$Q$7:$X$7,'Carrillo WMC Rod Bolts'!$Q$8:$X$8,'Carrillo WMC Rod Bolts'!$Q$9:$X$9,'Carrillo WMC Rod Bolts'!$Q$10:$X$10)</c:f>
              <c:numCache>
                <c:formatCode>0.00</c:formatCode>
                <c:ptCount val="56"/>
                <c:pt idx="0">
                  <c:v>#N/A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5</c:v>
                </c:pt>
                <c:pt idx="7">
                  <c:v>5</c:v>
                </c:pt>
                <c:pt idx="8">
                  <c:v>#N/A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#N/A</c:v>
                </c:pt>
                <c:pt idx="13">
                  <c:v>#N/A</c:v>
                </c:pt>
                <c:pt idx="14">
                  <c:v>19.75</c:v>
                </c:pt>
                <c:pt idx="15">
                  <c:v>19.75</c:v>
                </c:pt>
                <c:pt idx="16">
                  <c:v>#N/A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#N/A</c:v>
                </c:pt>
                <c:pt idx="21">
                  <c:v>#N/A</c:v>
                </c:pt>
                <c:pt idx="22">
                  <c:v>45</c:v>
                </c:pt>
                <c:pt idx="23">
                  <c:v>45</c:v>
                </c:pt>
                <c:pt idx="24">
                  <c:v>#N/A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#N/A</c:v>
                </c:pt>
                <c:pt idx="29">
                  <c:v>#N/A</c:v>
                </c:pt>
                <c:pt idx="30">
                  <c:v>90</c:v>
                </c:pt>
                <c:pt idx="31">
                  <c:v>90</c:v>
                </c:pt>
                <c:pt idx="32">
                  <c:v>#N/A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#N/A</c:v>
                </c:pt>
                <c:pt idx="37">
                  <c:v>#N/A</c:v>
                </c:pt>
                <c:pt idx="38">
                  <c:v>135</c:v>
                </c:pt>
                <c:pt idx="39">
                  <c:v>135</c:v>
                </c:pt>
                <c:pt idx="40">
                  <c:v>#N/A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#N/A</c:v>
                </c:pt>
                <c:pt idx="45">
                  <c:v>#N/A</c:v>
                </c:pt>
                <c:pt idx="46">
                  <c:v>160.25</c:v>
                </c:pt>
                <c:pt idx="47">
                  <c:v>160.25</c:v>
                </c:pt>
                <c:pt idx="48">
                  <c:v>#N/A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#N/A</c:v>
                </c:pt>
                <c:pt idx="53">
                  <c:v>#N/A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('Carrillo WMC Rod Bolts'!$Y$4:$AF$4,'Carrillo WMC Rod Bolts'!$Y$5:$AF$5,'Carrillo WMC Rod Bolts'!$Y$6:$AF$6,'Carrillo WMC Rod Bolts'!$Y$7:$AF$7,'Carrillo WMC Rod Bolts'!$Y$8:$AF$8,'Carrillo WMC Rod Bolts'!$Y$9:$AF$9,'Carrillo WMC Rod Bolts'!$Y$10:$AF$10)</c:f>
              <c:numCache>
                <c:formatCode>0.00000</c:formatCode>
                <c:ptCount val="56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#N/A</c:v>
                </c:pt>
                <c:pt idx="9">
                  <c:v>1.2500000000015277E-4</c:v>
                </c:pt>
                <c:pt idx="10">
                  <c:v>-2.4999999999941735E-5</c:v>
                </c:pt>
                <c:pt idx="11">
                  <c:v>1.9999999999997797E-4</c:v>
                </c:pt>
                <c:pt idx="12">
                  <c:v>#N/A</c:v>
                </c:pt>
                <c:pt idx="13">
                  <c:v>#N/A</c:v>
                </c:pt>
                <c:pt idx="14">
                  <c:v>2.9999999999974492E-4</c:v>
                </c:pt>
                <c:pt idx="15">
                  <c:v>7.5000000000269296E-5</c:v>
                </c:pt>
                <c:pt idx="16">
                  <c:v>#N/A</c:v>
                </c:pt>
                <c:pt idx="17">
                  <c:v>3.2500000000013074E-4</c:v>
                </c:pt>
                <c:pt idx="18">
                  <c:v>1.7500000000003624E-4</c:v>
                </c:pt>
                <c:pt idx="19">
                  <c:v>3.9999999999995595E-4</c:v>
                </c:pt>
                <c:pt idx="20">
                  <c:v>#N/A</c:v>
                </c:pt>
                <c:pt idx="21">
                  <c:v>#N/A</c:v>
                </c:pt>
                <c:pt idx="22">
                  <c:v>8.4999999999979536E-4</c:v>
                </c:pt>
                <c:pt idx="23">
                  <c:v>-2.4999999999986144E-4</c:v>
                </c:pt>
                <c:pt idx="24">
                  <c:v>#N/A</c:v>
                </c:pt>
                <c:pt idx="25">
                  <c:v>4.2499999999989768E-4</c:v>
                </c:pt>
                <c:pt idx="26">
                  <c:v>2.7499999999980318E-4</c:v>
                </c:pt>
                <c:pt idx="27">
                  <c:v>5.5000000000005045E-4</c:v>
                </c:pt>
                <c:pt idx="28">
                  <c:v>#N/A</c:v>
                </c:pt>
                <c:pt idx="29">
                  <c:v>#N/A</c:v>
                </c:pt>
                <c:pt idx="30">
                  <c:v>1.1999999999998678E-3</c:v>
                </c:pt>
                <c:pt idx="31">
                  <c:v>-7.0000000000014495E-4</c:v>
                </c:pt>
                <c:pt idx="32">
                  <c:v>#N/A</c:v>
                </c:pt>
                <c:pt idx="33">
                  <c:v>3.2500000000013074E-4</c:v>
                </c:pt>
                <c:pt idx="34">
                  <c:v>1.7500000000003624E-4</c:v>
                </c:pt>
                <c:pt idx="35">
                  <c:v>3.9999999999995595E-4</c:v>
                </c:pt>
                <c:pt idx="36">
                  <c:v>#N/A</c:v>
                </c:pt>
                <c:pt idx="37">
                  <c:v>#N/A</c:v>
                </c:pt>
                <c:pt idx="38">
                  <c:v>8.4999999999979536E-4</c:v>
                </c:pt>
                <c:pt idx="39">
                  <c:v>-2.4999999999986144E-4</c:v>
                </c:pt>
                <c:pt idx="40">
                  <c:v>#N/A</c:v>
                </c:pt>
                <c:pt idx="41">
                  <c:v>1.2500000000015277E-4</c:v>
                </c:pt>
                <c:pt idx="42">
                  <c:v>-2.4999999999941735E-5</c:v>
                </c:pt>
                <c:pt idx="43">
                  <c:v>1.9999999999997797E-4</c:v>
                </c:pt>
                <c:pt idx="44">
                  <c:v>#N/A</c:v>
                </c:pt>
                <c:pt idx="45">
                  <c:v>#N/A</c:v>
                </c:pt>
                <c:pt idx="46">
                  <c:v>2.9999999999974492E-4</c:v>
                </c:pt>
                <c:pt idx="47">
                  <c:v>7.5000000000269296E-5</c:v>
                </c:pt>
                <c:pt idx="48">
                  <c:v>#N/A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#N/A</c:v>
                </c:pt>
                <c:pt idx="53">
                  <c:v>#N/A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239552"/>
        <c:axId val="677240128"/>
      </c:scatterChart>
      <c:valAx>
        <c:axId val="677239552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240128"/>
        <c:crossesAt val="0"/>
        <c:crossBetween val="midCat"/>
        <c:majorUnit val="22.5"/>
      </c:valAx>
      <c:valAx>
        <c:axId val="677240128"/>
        <c:scaling>
          <c:orientation val="minMax"/>
          <c:max val="2.0000000000000005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7239552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Carrillo-WMC Bolts @ 45 Ft/Lbs Delta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Carrillo-WMC, 45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('Carrillo WMC Rod Bolts'!$Q$11:$U$11,'Carrillo WMC Rod Bolts'!$Q$12:$U$12,'Carrillo WMC Rod Bolts'!$Q$13:$U$13,'Carrillo WMC Rod Bolts'!$Q$14:$U$14,'Carrillo WMC Rod Bolts'!$Q$15:$U$15,'Carrillo WMC Rod Bolts'!$Q$16:$U$16,'Carrillo WMC Rod Bolts'!$Q$17:$U$17)</c:f>
              <c:numCache>
                <c:formatCode>0.00</c:formatCode>
                <c:ptCount val="35"/>
                <c:pt idx="0">
                  <c:v>#N/A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19.75</c:v>
                </c:pt>
                <c:pt idx="7">
                  <c:v>19.75</c:v>
                </c:pt>
                <c:pt idx="8">
                  <c:v>19.75</c:v>
                </c:pt>
                <c:pt idx="9">
                  <c:v>#N/A</c:v>
                </c:pt>
                <c:pt idx="10">
                  <c:v>#N/A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#N/A</c:v>
                </c:pt>
                <c:pt idx="15">
                  <c:v>#N/A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#N/A</c:v>
                </c:pt>
                <c:pt idx="20">
                  <c:v>#N/A</c:v>
                </c:pt>
                <c:pt idx="21">
                  <c:v>135</c:v>
                </c:pt>
                <c:pt idx="22">
                  <c:v>135</c:v>
                </c:pt>
                <c:pt idx="23">
                  <c:v>135</c:v>
                </c:pt>
                <c:pt idx="24">
                  <c:v>#N/A</c:v>
                </c:pt>
                <c:pt idx="25">
                  <c:v>#N/A</c:v>
                </c:pt>
                <c:pt idx="26">
                  <c:v>160.25</c:v>
                </c:pt>
                <c:pt idx="27">
                  <c:v>160.25</c:v>
                </c:pt>
                <c:pt idx="28">
                  <c:v>160.25</c:v>
                </c:pt>
                <c:pt idx="29">
                  <c:v>#N/A</c:v>
                </c:pt>
                <c:pt idx="30">
                  <c:v>#N/A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#N/A</c:v>
                </c:pt>
              </c:numCache>
            </c:numRef>
          </c:xVal>
          <c:yVal>
            <c:numRef>
              <c:f>('Carrillo WMC Rod Bolts'!$Z$11:$AA$11,'Carrillo WMC Rod Bolts'!$AD$11:$AF$11,'Carrillo WMC Rod Bolts'!$Z$12:$AA$12,'Carrillo WMC Rod Bolts'!$AD$12:$AF$12,'Carrillo WMC Rod Bolts'!$Z$13:$AA$13,'Carrillo WMC Rod Bolts'!$AD$13:$AF$13,'Carrillo WMC Rod Bolts'!$Z$14:$AA$14,'Carrillo WMC Rod Bolts'!$AD$14:$AF$14,'Carrillo WMC Rod Bolts'!$Z$15:$AA$15,'Carrillo WMC Rod Bolts'!$AD$15:$AF$15,'Carrillo WMC Rod Bolts'!$Z$16:$AA$16,'Carrillo WMC Rod Bolts'!$AD$16:$AF$16,'Carrillo WMC Rod Bolts'!$Z$17:$AA$17,'Carrillo WMC Rod Bolts'!$AD$17:$AF$17)</c:f>
              <c:numCache>
                <c:formatCode>0.00000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1.6562500000028013E-4</c:v>
                </c:pt>
                <c:pt idx="6">
                  <c:v>1.5625000000185629E-5</c:v>
                </c:pt>
                <c:pt idx="7">
                  <c:v>#N/A</c:v>
                </c:pt>
                <c:pt idx="8">
                  <c:v>3.4062499999987228E-4</c:v>
                </c:pt>
                <c:pt idx="9">
                  <c:v>1.1562500000039666E-4</c:v>
                </c:pt>
                <c:pt idx="10">
                  <c:v>4.7812500000010694E-4</c:v>
                </c:pt>
                <c:pt idx="11">
                  <c:v>3.2812500000001243E-4</c:v>
                </c:pt>
                <c:pt idx="12">
                  <c:v>#N/A</c:v>
                </c:pt>
                <c:pt idx="13">
                  <c:v>1.0031249999997716E-3</c:v>
                </c:pt>
                <c:pt idx="14">
                  <c:v>-9.6874999999885247E-5</c:v>
                </c:pt>
                <c:pt idx="15">
                  <c:v>6.499999999998729E-4</c:v>
                </c:pt>
                <c:pt idx="16">
                  <c:v>4.999999999997784E-4</c:v>
                </c:pt>
                <c:pt idx="17">
                  <c:v>#N/A</c:v>
                </c:pt>
                <c:pt idx="18">
                  <c:v>1.4249999999998431E-3</c:v>
                </c:pt>
                <c:pt idx="19">
                  <c:v>-4.7500000000016973E-4</c:v>
                </c:pt>
                <c:pt idx="20">
                  <c:v>4.7812500000010694E-4</c:v>
                </c:pt>
                <c:pt idx="21">
                  <c:v>3.2812500000001243E-4</c:v>
                </c:pt>
                <c:pt idx="22">
                  <c:v>#N/A</c:v>
                </c:pt>
                <c:pt idx="23">
                  <c:v>1.0031249999997716E-3</c:v>
                </c:pt>
                <c:pt idx="24">
                  <c:v>-9.6874999999885247E-5</c:v>
                </c:pt>
                <c:pt idx="25">
                  <c:v>1.6562500000028013E-4</c:v>
                </c:pt>
                <c:pt idx="26">
                  <c:v>1.5625000000185629E-5</c:v>
                </c:pt>
                <c:pt idx="27">
                  <c:v>#N/A</c:v>
                </c:pt>
                <c:pt idx="28">
                  <c:v>3.4062499999987228E-4</c:v>
                </c:pt>
                <c:pt idx="29">
                  <c:v>1.1562500000039666E-4</c:v>
                </c:pt>
                <c:pt idx="30">
                  <c:v>0</c:v>
                </c:pt>
                <c:pt idx="31">
                  <c:v>0</c:v>
                </c:pt>
                <c:pt idx="32">
                  <c:v>#N/A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414592"/>
        <c:axId val="677415168"/>
      </c:scatterChart>
      <c:valAx>
        <c:axId val="677414592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415168"/>
        <c:crossesAt val="0"/>
        <c:crossBetween val="midCat"/>
        <c:majorUnit val="22.5"/>
      </c:valAx>
      <c:valAx>
        <c:axId val="677415168"/>
        <c:scaling>
          <c:orientation val="minMax"/>
          <c:max val="2.0000000000000005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7414592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ARP-625 Bolts @ 60, 55, 50 Ft/Lbs Delta vs. OEM Bolts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ARP-625, 60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Bolts'!$Q$11:$X$11,'ARP-625 Rod Bolts'!$Q$12:$X$12,'ARP-625 Rod Bolts'!$Q$13:$X$13,'ARP-625 Rod Bolts'!$Q$14:$X$14,'ARP-625 Rod Bolts'!$Q$15:$X$15,'ARP-625 Rod Bolts'!$Q$16:$X$16,'ARP-625 Rod Bolts'!$Q$17:$X$17)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Bolts'!$Y$11:$AF$11,'ARP-625 Rod Bolts'!$Y$12:$AF$12,'ARP-625 Rod Bolts'!$Y$13:$AF$13,'ARP-625 Rod Bolts'!$Y$14:$AF$14,'ARP-625 Rod Bolts'!$Y$15:$AF$15,'ARP-625 Rod Bolts'!$Y$16:$AF$16,'ARP-625 Rod Bolts'!$Y$17:$AF$17)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-2.8437500000000338E-4</c:v>
                </c:pt>
                <c:pt idx="9">
                  <c:v>-1.3437499999990887E-4</c:v>
                </c:pt>
                <c:pt idx="10">
                  <c:v>-5.9375000000083666E-5</c:v>
                </c:pt>
                <c:pt idx="11">
                  <c:v>-2.8437499999955929E-4</c:v>
                </c:pt>
                <c:pt idx="12">
                  <c:v>-8.4375000000025402E-5</c:v>
                </c:pt>
                <c:pt idx="13">
                  <c:v>-1.5937499999940652E-4</c:v>
                </c:pt>
                <c:pt idx="14">
                  <c:v>-2.5937500000006164E-4</c:v>
                </c:pt>
                <c:pt idx="15">
                  <c:v>-2.5937500000006164E-4</c:v>
                </c:pt>
                <c:pt idx="16">
                  <c:v>-5.9687500000005222E-4</c:v>
                </c:pt>
                <c:pt idx="17">
                  <c:v>-4.4687499999995772E-4</c:v>
                </c:pt>
                <c:pt idx="18">
                  <c:v>-1.9687500000009628E-4</c:v>
                </c:pt>
                <c:pt idx="19">
                  <c:v>-5.9687500000005222E-4</c:v>
                </c:pt>
                <c:pt idx="20">
                  <c:v>-4.4687499999995772E-4</c:v>
                </c:pt>
                <c:pt idx="21">
                  <c:v>-3.4687499999974669E-4</c:v>
                </c:pt>
                <c:pt idx="22">
                  <c:v>-4.4687499999995772E-4</c:v>
                </c:pt>
                <c:pt idx="23">
                  <c:v>-4.2187500000001599E-4</c:v>
                </c:pt>
                <c:pt idx="24">
                  <c:v>-6.4999999999976188E-4</c:v>
                </c:pt>
                <c:pt idx="25">
                  <c:v>-5.7499999999993667E-4</c:v>
                </c:pt>
                <c:pt idx="26">
                  <c:v>-1.2500000000009726E-4</c:v>
                </c:pt>
                <c:pt idx="27">
                  <c:v>-6.7499999999970361E-4</c:v>
                </c:pt>
                <c:pt idx="28">
                  <c:v>-5.7499999999993667E-4</c:v>
                </c:pt>
                <c:pt idx="29">
                  <c:v>-5.7499999999993667E-4</c:v>
                </c:pt>
                <c:pt idx="30">
                  <c:v>-5.250000000000532E-4</c:v>
                </c:pt>
                <c:pt idx="31">
                  <c:v>-5.4999999999999494E-4</c:v>
                </c:pt>
                <c:pt idx="32">
                  <c:v>-5.9687500000005222E-4</c:v>
                </c:pt>
                <c:pt idx="33">
                  <c:v>-4.4687499999995772E-4</c:v>
                </c:pt>
                <c:pt idx="34">
                  <c:v>-1.9687500000009628E-4</c:v>
                </c:pt>
                <c:pt idx="35">
                  <c:v>-5.9687500000005222E-4</c:v>
                </c:pt>
                <c:pt idx="36">
                  <c:v>-4.4687499999995772E-4</c:v>
                </c:pt>
                <c:pt idx="37">
                  <c:v>-3.4687499999974669E-4</c:v>
                </c:pt>
                <c:pt idx="38">
                  <c:v>-4.4687499999995772E-4</c:v>
                </c:pt>
                <c:pt idx="39">
                  <c:v>-4.2187500000001599E-4</c:v>
                </c:pt>
                <c:pt idx="40">
                  <c:v>-2.8437500000000338E-4</c:v>
                </c:pt>
                <c:pt idx="41">
                  <c:v>-1.3437499999990887E-4</c:v>
                </c:pt>
                <c:pt idx="42">
                  <c:v>-5.9375000000083666E-5</c:v>
                </c:pt>
                <c:pt idx="43">
                  <c:v>-2.8437499999955929E-4</c:v>
                </c:pt>
                <c:pt idx="44">
                  <c:v>-8.4375000000025402E-5</c:v>
                </c:pt>
                <c:pt idx="45">
                  <c:v>-1.5937499999940652E-4</c:v>
                </c:pt>
                <c:pt idx="46">
                  <c:v>-2.5937500000006164E-4</c:v>
                </c:pt>
                <c:pt idx="47">
                  <c:v>-2.5937500000006164E-4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ARP-625, 55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Bolts'!$Q$28:$X$28,'ARP-625 Rod Bolts'!$Q$29:$X$29,'ARP-625 Rod Bolts'!$Q$30:$X$30,'ARP-625 Rod Bolts'!$Q$31:$X$31,'ARP-625 Rod Bolts'!$Q$32:$X$32,'ARP-625 Rod Bolts'!$Q$33:$X$33,'ARP-625 Rod Bolts'!$Q$34:$X$34)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Bolts'!$Y$28:$AF$28,'ARP-625 Rod Bolts'!$Y$29:$AF$29,'ARP-625 Rod Bolts'!$Y$30:$AF$30,'ARP-625 Rod Bolts'!$Y$31:$AF$31,'ARP-625 Rod Bolts'!$Y$32:$AF$32,'ARP-625 Rod Bolts'!$Y$33:$AF$33,'ARP-625 Rod Bolts'!$Y$34:$AF$34)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-1.3437499999946478E-4</c:v>
                </c:pt>
                <c:pt idx="9">
                  <c:v>-8.4374999999581313E-5</c:v>
                </c:pt>
                <c:pt idx="10">
                  <c:v>-5.9375000000083666E-5</c:v>
                </c:pt>
                <c:pt idx="11">
                  <c:v>-1.0937499999996714E-4</c:v>
                </c:pt>
                <c:pt idx="12">
                  <c:v>-8.4374999999581313E-5</c:v>
                </c:pt>
                <c:pt idx="13">
                  <c:v>-1.5937499999940652E-4</c:v>
                </c:pt>
                <c:pt idx="14">
                  <c:v>-8.4374999999581313E-5</c:v>
                </c:pt>
                <c:pt idx="15">
                  <c:v>-1.8437499999979234E-4</c:v>
                </c:pt>
                <c:pt idx="16">
                  <c:v>-3.9687499999963016E-4</c:v>
                </c:pt>
                <c:pt idx="17">
                  <c:v>-3.2187499999980496E-4</c:v>
                </c:pt>
                <c:pt idx="18">
                  <c:v>-4.6875000000001776E-5</c:v>
                </c:pt>
                <c:pt idx="19">
                  <c:v>-3.7187500000013252E-4</c:v>
                </c:pt>
                <c:pt idx="20">
                  <c:v>-2.9687499999986322E-4</c:v>
                </c:pt>
                <c:pt idx="21">
                  <c:v>-2.4687499999953566E-4</c:v>
                </c:pt>
                <c:pt idx="22">
                  <c:v>-2.9687499999986322E-4</c:v>
                </c:pt>
                <c:pt idx="23">
                  <c:v>-1.9687500000009628E-4</c:v>
                </c:pt>
                <c:pt idx="24">
                  <c:v>-4.2499999999984217E-4</c:v>
                </c:pt>
                <c:pt idx="25">
                  <c:v>-4.2499999999984217E-4</c:v>
                </c:pt>
                <c:pt idx="26">
                  <c:v>-1.7499999999998073E-4</c:v>
                </c:pt>
                <c:pt idx="27">
                  <c:v>-5.250000000000532E-4</c:v>
                </c:pt>
                <c:pt idx="28">
                  <c:v>-2.249999999998642E-4</c:v>
                </c:pt>
                <c:pt idx="29">
                  <c:v>-5.7499999999949258E-4</c:v>
                </c:pt>
                <c:pt idx="30">
                  <c:v>-2.999999999996894E-4</c:v>
                </c:pt>
                <c:pt idx="31">
                  <c:v>-1.7499999999998073E-4</c:v>
                </c:pt>
                <c:pt idx="32">
                  <c:v>-3.9687499999963016E-4</c:v>
                </c:pt>
                <c:pt idx="33">
                  <c:v>-3.2187499999980496E-4</c:v>
                </c:pt>
                <c:pt idx="34">
                  <c:v>-4.6875000000001776E-5</c:v>
                </c:pt>
                <c:pt idx="35">
                  <c:v>-3.7187500000013252E-4</c:v>
                </c:pt>
                <c:pt idx="36">
                  <c:v>-2.9687499999986322E-4</c:v>
                </c:pt>
                <c:pt idx="37">
                  <c:v>-2.4687499999953566E-4</c:v>
                </c:pt>
                <c:pt idx="38">
                  <c:v>-2.9687499999986322E-4</c:v>
                </c:pt>
                <c:pt idx="39">
                  <c:v>-1.9687500000009628E-4</c:v>
                </c:pt>
                <c:pt idx="40">
                  <c:v>-1.3437499999946478E-4</c:v>
                </c:pt>
                <c:pt idx="41">
                  <c:v>-8.4374999999581313E-5</c:v>
                </c:pt>
                <c:pt idx="42">
                  <c:v>-5.9375000000083666E-5</c:v>
                </c:pt>
                <c:pt idx="43">
                  <c:v>-1.0937499999996714E-4</c:v>
                </c:pt>
                <c:pt idx="44">
                  <c:v>-8.4374999999581313E-5</c:v>
                </c:pt>
                <c:pt idx="45">
                  <c:v>-1.5937499999940652E-4</c:v>
                </c:pt>
                <c:pt idx="46">
                  <c:v>-8.4374999999581313E-5</c:v>
                </c:pt>
                <c:pt idx="47">
                  <c:v>-1.8437499999979234E-4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ARP-625,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('ARP-625 Rod Bolts'!$Q$47:$X$47,'ARP-625 Rod Bolts'!$Q$48:$X$48,'ARP-625 Rod Bolts'!$Q$49:$X$49,'ARP-625 Rod Bolts'!$Q$50:$X$50,'ARP-625 Rod Bolts'!$Q$51:$X$51,'ARP-625 Rod Bolts'!$Q$52:$X$52,'ARP-625 Rod Bolts'!$Q$53:$X$53)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('ARP-625 Rod Bolts'!$Y$47:$AF$47,'ARP-625 Rod Bolts'!$Y$48:$AF$48,'ARP-625 Rod Bolts'!$Y$49:$AF$49,'ARP-625 Rod Bolts'!$Y$50:$AF$50,'ARP-625 Rod Bolts'!$Y$51:$AF$51,'ARP-625 Rod Bolts'!$Y$52:$AF$52,'ARP-625 Rod Bolts'!$Y$53:$AF$53)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-1.5937499999940652E-4</c:v>
                </c:pt>
                <c:pt idx="9">
                  <c:v>-1.5937499999940652E-4</c:v>
                </c:pt>
                <c:pt idx="10">
                  <c:v>4.0625000000127365E-5</c:v>
                </c:pt>
                <c:pt idx="11">
                  <c:v>-8.4374999999581313E-5</c:v>
                </c:pt>
                <c:pt idx="12">
                  <c:v>-8.4374999999581313E-5</c:v>
                </c:pt>
                <c:pt idx="13">
                  <c:v>-1.3437500000035296E-4</c:v>
                </c:pt>
                <c:pt idx="14">
                  <c:v>-3.4374999999697842E-5</c:v>
                </c:pt>
                <c:pt idx="15">
                  <c:v>-1.3437499999990887E-4</c:v>
                </c:pt>
                <c:pt idx="16">
                  <c:v>-2.4687499999997975E-4</c:v>
                </c:pt>
                <c:pt idx="17">
                  <c:v>-2.9687499999986322E-4</c:v>
                </c:pt>
                <c:pt idx="18">
                  <c:v>2.8125000000267519E-5</c:v>
                </c:pt>
                <c:pt idx="19">
                  <c:v>-2.2187500000003801E-4</c:v>
                </c:pt>
                <c:pt idx="20">
                  <c:v>-7.1875000000387601E-5</c:v>
                </c:pt>
                <c:pt idx="21">
                  <c:v>-3.2187500000024905E-4</c:v>
                </c:pt>
                <c:pt idx="22">
                  <c:v>-9.6874999999885247E-5</c:v>
                </c:pt>
                <c:pt idx="23">
                  <c:v>-7.1875000000387601E-5</c:v>
                </c:pt>
                <c:pt idx="24">
                  <c:v>-2.7499999999974767E-4</c:v>
                </c:pt>
                <c:pt idx="25">
                  <c:v>-3.2499999999963114E-4</c:v>
                </c:pt>
                <c:pt idx="26">
                  <c:v>2.4999999999997247E-5</c:v>
                </c:pt>
                <c:pt idx="27">
                  <c:v>-2.999999999996894E-4</c:v>
                </c:pt>
                <c:pt idx="28">
                  <c:v>-2.4999999999886224E-5</c:v>
                </c:pt>
                <c:pt idx="29">
                  <c:v>-3.5000000000046105E-4</c:v>
                </c:pt>
                <c:pt idx="30">
                  <c:v>-1.2500000000009726E-4</c:v>
                </c:pt>
                <c:pt idx="31">
                  <c:v>-1.5000000000003899E-4</c:v>
                </c:pt>
                <c:pt idx="32">
                  <c:v>-2.4687499999997975E-4</c:v>
                </c:pt>
                <c:pt idx="33">
                  <c:v>-2.9687499999986322E-4</c:v>
                </c:pt>
                <c:pt idx="34">
                  <c:v>2.8125000000267519E-5</c:v>
                </c:pt>
                <c:pt idx="35">
                  <c:v>-2.2187500000003801E-4</c:v>
                </c:pt>
                <c:pt idx="36">
                  <c:v>-7.1875000000387601E-5</c:v>
                </c:pt>
                <c:pt idx="37">
                  <c:v>-3.2187500000024905E-4</c:v>
                </c:pt>
                <c:pt idx="38">
                  <c:v>-9.6874999999885247E-5</c:v>
                </c:pt>
                <c:pt idx="39">
                  <c:v>-7.1875000000387601E-5</c:v>
                </c:pt>
                <c:pt idx="40">
                  <c:v>-1.5937499999940652E-4</c:v>
                </c:pt>
                <c:pt idx="41">
                  <c:v>-1.5937499999940652E-4</c:v>
                </c:pt>
                <c:pt idx="42">
                  <c:v>4.0625000000127365E-5</c:v>
                </c:pt>
                <c:pt idx="43">
                  <c:v>-8.4374999999581313E-5</c:v>
                </c:pt>
                <c:pt idx="44">
                  <c:v>-8.4374999999581313E-5</c:v>
                </c:pt>
                <c:pt idx="45">
                  <c:v>-1.3437500000035296E-4</c:v>
                </c:pt>
                <c:pt idx="46">
                  <c:v>-3.4374999999697842E-5</c:v>
                </c:pt>
                <c:pt idx="47">
                  <c:v>-1.3437499999990887E-4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416320"/>
        <c:axId val="677416896"/>
      </c:scatterChart>
      <c:valAx>
        <c:axId val="67741632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416896"/>
        <c:crossesAt val="0"/>
        <c:crossBetween val="midCat"/>
        <c:majorUnit val="22.5"/>
      </c:valAx>
      <c:valAx>
        <c:axId val="677416896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741632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Rod Bolt Bore Distortion:  OEM Rod Big-End with OEM Bolts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('OEM Rod Bolts'!$Q$4:$X$4,'OEM Rod Bolts'!$Q$5:$X$5,'OEM Rod Bolts'!$Q$6:$X$6,'OEM Rod Bolts'!$Q$7:$X$7,'OEM Rod Bolts'!$Q$8:$X$8,'OEM Rod Bolts'!$Q$9:$X$9,'OEM Rod Bolts'!$Q$10:$X$10)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('OEM Rod Bolts'!$Y$4:$AF$4,'OEM Rod Bolts'!$Y$5:$AF$5,'OEM Rod Bolts'!$Y$6:$AF$6,'OEM Rod Bolts'!$Y$7:$AF$7,'OEM Rod Bolts'!$Y$8:$AF$8,'OEM Rod Bolts'!$Y$9:$AF$9,'OEM Rod Bolts'!$Y$10:$AF$10)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419200"/>
        <c:axId val="677419776"/>
      </c:scatterChart>
      <c:valAx>
        <c:axId val="67741920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7419776"/>
        <c:crossesAt val="0"/>
        <c:crossBetween val="midCat"/>
        <c:majorUnit val="22.5"/>
      </c:valAx>
      <c:valAx>
        <c:axId val="677419776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741920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BMW 088/089 Bearings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BMW 088/089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088_089'!$AD$4:$AK$4,'Virgin 088_089'!$AD$5:$AK$5,'Virgin 088_089'!$AD$6:$AK$6,'Virgin 088_089'!$AD$7:$AK$7,'Virgin 088_089'!$AD$8:$AK$8,'Virgin 088_089'!$AD$9:$AK$9,'Virgin 088_089'!$AD$10:$AK$10)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088_089'!$Q$4:$X$4,'Virgin 088_089'!$Q$5:$X$5,'Virgin 088_089'!$Q$6:$X$6,'Virgin 088_089'!$Q$7:$X$7,'Virgin 088_089'!$Q$8:$X$8,'Virgin 088_089'!$Q$9:$X$9,'Virgin 088_089'!$Q$10:$X$10)</c:f>
              <c:numCache>
                <c:formatCode>0.00000</c:formatCode>
                <c:ptCount val="56"/>
                <c:pt idx="0">
                  <c:v>2.8500000000000192E-3</c:v>
                </c:pt>
                <c:pt idx="1">
                  <c:v>2.4999999999999467E-3</c:v>
                </c:pt>
                <c:pt idx="2">
                  <c:v>2.3999999999997357E-3</c:v>
                </c:pt>
                <c:pt idx="3">
                  <c:v>2.5999999999997137E-3</c:v>
                </c:pt>
                <c:pt idx="4">
                  <c:v>2.6000000000001577E-3</c:v>
                </c:pt>
                <c:pt idx="5">
                  <c:v>2.5499999999998302E-3</c:v>
                </c:pt>
                <c:pt idx="6">
                  <c:v>2.3499999999998522E-3</c:v>
                </c:pt>
                <c:pt idx="7">
                  <c:v>2.4999999999999467E-3</c:v>
                </c:pt>
                <c:pt idx="8">
                  <c:v>7.5000000000002842E-4</c:v>
                </c:pt>
                <c:pt idx="9">
                  <c:v>7.0000000000014495E-4</c:v>
                </c:pt>
                <c:pt idx="10">
                  <c:v>8.4999999999979536E-4</c:v>
                </c:pt>
                <c:pt idx="11">
                  <c:v>8.4999999999979536E-4</c:v>
                </c:pt>
                <c:pt idx="12">
                  <c:v>7.9999999999991189E-4</c:v>
                </c:pt>
                <c:pt idx="13">
                  <c:v>8.9999999999967883E-4</c:v>
                </c:pt>
                <c:pt idx="14">
                  <c:v>8.4999999999979536E-4</c:v>
                </c:pt>
                <c:pt idx="15">
                  <c:v>8.4999999999979536E-4</c:v>
                </c:pt>
                <c:pt idx="16">
                  <c:v>3.00000000000189E-4</c:v>
                </c:pt>
                <c:pt idx="17">
                  <c:v>1.0000000000021103E-4</c:v>
                </c:pt>
                <c:pt idx="18">
                  <c:v>4.4999999999983942E-4</c:v>
                </c:pt>
                <c:pt idx="19">
                  <c:v>1.9999999999997797E-4</c:v>
                </c:pt>
                <c:pt idx="20">
                  <c:v>2.9999999999974492E-4</c:v>
                </c:pt>
                <c:pt idx="21">
                  <c:v>9.9999999999766942E-5</c:v>
                </c:pt>
                <c:pt idx="22">
                  <c:v>3.5000000000007248E-4</c:v>
                </c:pt>
                <c:pt idx="23">
                  <c:v>2.9999999999974492E-4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1.500000000000945E-4</c:v>
                </c:pt>
                <c:pt idx="33">
                  <c:v>3.00000000000189E-4</c:v>
                </c:pt>
                <c:pt idx="34">
                  <c:v>2.4999999999986144E-4</c:v>
                </c:pt>
                <c:pt idx="35">
                  <c:v>4.4999999999983942E-4</c:v>
                </c:pt>
                <c:pt idx="36">
                  <c:v>1.9999999999997797E-4</c:v>
                </c:pt>
                <c:pt idx="37">
                  <c:v>1.4999999999965041E-4</c:v>
                </c:pt>
                <c:pt idx="38">
                  <c:v>3.9999999999995595E-4</c:v>
                </c:pt>
                <c:pt idx="39">
                  <c:v>1.9999999999997797E-4</c:v>
                </c:pt>
                <c:pt idx="40">
                  <c:v>7.5000000000002842E-4</c:v>
                </c:pt>
                <c:pt idx="41">
                  <c:v>7.0000000000014495E-4</c:v>
                </c:pt>
                <c:pt idx="42">
                  <c:v>8.4999999999979536E-4</c:v>
                </c:pt>
                <c:pt idx="43">
                  <c:v>7.5000000000002842E-4</c:v>
                </c:pt>
                <c:pt idx="44">
                  <c:v>8.4999999999979536E-4</c:v>
                </c:pt>
                <c:pt idx="45">
                  <c:v>8.4999999999979536E-4</c:v>
                </c:pt>
                <c:pt idx="46">
                  <c:v>7.0000000000014495E-4</c:v>
                </c:pt>
                <c:pt idx="47">
                  <c:v>8.4999999999979536E-4</c:v>
                </c:pt>
                <c:pt idx="48">
                  <c:v>2.7500000000002522E-3</c:v>
                </c:pt>
                <c:pt idx="49">
                  <c:v>3.1000000000003247E-3</c:v>
                </c:pt>
                <c:pt idx="50">
                  <c:v>2.3999999999997357E-3</c:v>
                </c:pt>
                <c:pt idx="51">
                  <c:v>2.6500000000000412E-3</c:v>
                </c:pt>
                <c:pt idx="52">
                  <c:v>2.5499999999998302E-3</c:v>
                </c:pt>
                <c:pt idx="53">
                  <c:v>2.1999999999997577E-3</c:v>
                </c:pt>
                <c:pt idx="54">
                  <c:v>2.4999999999999467E-3</c:v>
                </c:pt>
                <c:pt idx="55">
                  <c:v>2.5499999999998302E-3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771136"/>
        <c:axId val="696771712"/>
      </c:scatterChart>
      <c:valAx>
        <c:axId val="696771136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6771712"/>
        <c:crossesAt val="0"/>
        <c:crossBetween val="midCat"/>
        <c:majorUnit val="22.5"/>
      </c:valAx>
      <c:valAx>
        <c:axId val="696771712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6771136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BMW 702/703 Bearings</a:t>
            </a:r>
            <a:endParaRPr lang="en-US" sz="1600" baseline="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BMW 702/703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702_703'!$AD$4:$AK$4,'Virgin 702_703'!$AD$5:$AK$5,'Virgin 702_703'!$AD$6:$AK$6,'Virgin 702_703'!$AD$7:$AK$7,'Virgin 702_703'!$AD$8:$AK$8,'Virgin 702_703'!$AD$9:$AK$9,'Virgin 702_703'!$AD$10:$AK$10)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702_703'!$Q$4:$X$4,'Virgin 702_703'!$Q$5:$X$5,'Virgin 702_703'!$Q$6:$X$6,'Virgin 702_703'!$Q$7:$X$7,'Virgin 702_703'!$Q$8:$X$8,'Virgin 702_703'!$Q$9:$X$9,'Virgin 702_703'!$Q$10:$X$10)</c:f>
              <c:numCache>
                <c:formatCode>0.00000</c:formatCode>
                <c:ptCount val="56"/>
                <c:pt idx="0">
                  <c:v>4.5000000000001705E-3</c:v>
                </c:pt>
                <c:pt idx="1">
                  <c:v>4.750000000000032E-3</c:v>
                </c:pt>
                <c:pt idx="2">
                  <c:v>4.5000000000001705E-3</c:v>
                </c:pt>
                <c:pt idx="3">
                  <c:v>4.5999999999999375E-3</c:v>
                </c:pt>
                <c:pt idx="4">
                  <c:v>4.1500000000000981E-3</c:v>
                </c:pt>
                <c:pt idx="5">
                  <c:v>4.3000000000001926E-3</c:v>
                </c:pt>
                <c:pt idx="6">
                  <c:v>4.5000000000001705E-3</c:v>
                </c:pt>
                <c:pt idx="7">
                  <c:v>4.7000000000001485E-3</c:v>
                </c:pt>
                <c:pt idx="8">
                  <c:v>2.1500000000003183E-3</c:v>
                </c:pt>
                <c:pt idx="9">
                  <c:v>2.1999999999997577E-3</c:v>
                </c:pt>
                <c:pt idx="10">
                  <c:v>1.9499999999998963E-3</c:v>
                </c:pt>
                <c:pt idx="11">
                  <c:v>1.9999999999997797E-3</c:v>
                </c:pt>
                <c:pt idx="12">
                  <c:v>1.7499999999999183E-3</c:v>
                </c:pt>
                <c:pt idx="13">
                  <c:v>1.9000000000000128E-3</c:v>
                </c:pt>
                <c:pt idx="14">
                  <c:v>2.1499999999998742E-3</c:v>
                </c:pt>
                <c:pt idx="15">
                  <c:v>2.1499999999998742E-3</c:v>
                </c:pt>
                <c:pt idx="16">
                  <c:v>7.0000000000014495E-4</c:v>
                </c:pt>
                <c:pt idx="17">
                  <c:v>6.4999999999981739E-4</c:v>
                </c:pt>
                <c:pt idx="18">
                  <c:v>3.9999999999995595E-4</c:v>
                </c:pt>
                <c:pt idx="19">
                  <c:v>9.9999999999988987E-4</c:v>
                </c:pt>
                <c:pt idx="20">
                  <c:v>3.5000000000007248E-4</c:v>
                </c:pt>
                <c:pt idx="21">
                  <c:v>6.0000000000037801E-4</c:v>
                </c:pt>
                <c:pt idx="22">
                  <c:v>5.9999999999993392E-4</c:v>
                </c:pt>
                <c:pt idx="23">
                  <c:v>7.0000000000014495E-4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7.0000000000014495E-4</c:v>
                </c:pt>
                <c:pt idx="33">
                  <c:v>7.5000000000002842E-4</c:v>
                </c:pt>
                <c:pt idx="34">
                  <c:v>5.9999999999993392E-4</c:v>
                </c:pt>
                <c:pt idx="35">
                  <c:v>6.4999999999981739E-4</c:v>
                </c:pt>
                <c:pt idx="36">
                  <c:v>6.4999999999981739E-4</c:v>
                </c:pt>
                <c:pt idx="37">
                  <c:v>6.0000000000037801E-4</c:v>
                </c:pt>
                <c:pt idx="38">
                  <c:v>7.0000000000014495E-4</c:v>
                </c:pt>
                <c:pt idx="39">
                  <c:v>6.4999999999981739E-4</c:v>
                </c:pt>
                <c:pt idx="40">
                  <c:v>2.0500000000001073E-3</c:v>
                </c:pt>
                <c:pt idx="41">
                  <c:v>2.2999999999999687E-3</c:v>
                </c:pt>
                <c:pt idx="42">
                  <c:v>1.9499999999998963E-3</c:v>
                </c:pt>
                <c:pt idx="43">
                  <c:v>1.9999999999997797E-3</c:v>
                </c:pt>
                <c:pt idx="44">
                  <c:v>2.0499999999996632E-3</c:v>
                </c:pt>
                <c:pt idx="45">
                  <c:v>2.0999999999999908E-3</c:v>
                </c:pt>
                <c:pt idx="46">
                  <c:v>2.1499999999998742E-3</c:v>
                </c:pt>
                <c:pt idx="47">
                  <c:v>1.9999999999997797E-3</c:v>
                </c:pt>
                <c:pt idx="48">
                  <c:v>4.5000000000001705E-3</c:v>
                </c:pt>
                <c:pt idx="49">
                  <c:v>4.8499999999997989E-3</c:v>
                </c:pt>
                <c:pt idx="50">
                  <c:v>4.3000000000001926E-3</c:v>
                </c:pt>
                <c:pt idx="51">
                  <c:v>4.5999999999999375E-3</c:v>
                </c:pt>
                <c:pt idx="52">
                  <c:v>4.4999999999997264E-3</c:v>
                </c:pt>
                <c:pt idx="53">
                  <c:v>4.6000000000003816E-3</c:v>
                </c:pt>
                <c:pt idx="54">
                  <c:v>4.6499999999998209E-3</c:v>
                </c:pt>
                <c:pt idx="55">
                  <c:v>4.7999999999999154E-3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773440"/>
        <c:axId val="696774016"/>
      </c:scatterChart>
      <c:valAx>
        <c:axId val="696773440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6774016"/>
        <c:crossesAt val="0"/>
        <c:crossBetween val="midCat"/>
        <c:majorUnit val="22.5"/>
      </c:valAx>
      <c:valAx>
        <c:axId val="696774016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6773440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22474892090891607"/>
          <c:w val="0.88337270341207352"/>
          <c:h val="0.60522425327592455"/>
        </c:manualLayout>
      </c:layout>
      <c:scatterChart>
        <c:scatterStyle val="smoothMarker"/>
        <c:varyColors val="0"/>
        <c:ser>
          <c:idx val="0"/>
          <c:order val="0"/>
          <c:tx>
            <c:v>Lot-1</c:v>
          </c:tx>
          <c:marker>
            <c:symbol val="none"/>
          </c:marker>
          <c:xVal>
            <c:numRef>
              <c:f>'BE Bearings Clevite'!$B$43:$P$43</c:f>
              <c:numCache>
                <c:formatCode>0.00000</c:formatCode>
                <c:ptCount val="15"/>
                <c:pt idx="0">
                  <c:v>7.7899999999999997E-2</c:v>
                </c:pt>
                <c:pt idx="1">
                  <c:v>7.7950000000000005E-2</c:v>
                </c:pt>
                <c:pt idx="2">
                  <c:v>7.8E-2</c:v>
                </c:pt>
                <c:pt idx="3">
                  <c:v>7.8049999999999994E-2</c:v>
                </c:pt>
                <c:pt idx="4">
                  <c:v>7.8100000000000003E-2</c:v>
                </c:pt>
                <c:pt idx="5">
                  <c:v>7.8149999999999997E-2</c:v>
                </c:pt>
                <c:pt idx="6">
                  <c:v>7.8200000000000006E-2</c:v>
                </c:pt>
                <c:pt idx="7">
                  <c:v>7.8250000000000097E-2</c:v>
                </c:pt>
                <c:pt idx="8">
                  <c:v>7.8300000000000106E-2</c:v>
                </c:pt>
                <c:pt idx="9">
                  <c:v>7.83500000000001E-2</c:v>
                </c:pt>
                <c:pt idx="10">
                  <c:v>7.8400000000000095E-2</c:v>
                </c:pt>
                <c:pt idx="11">
                  <c:v>7.8450000000000103E-2</c:v>
                </c:pt>
                <c:pt idx="12">
                  <c:v>7.8500000000000097E-2</c:v>
                </c:pt>
                <c:pt idx="13">
                  <c:v>7.8550000000000106E-2</c:v>
                </c:pt>
                <c:pt idx="14">
                  <c:v>7.86000000000001E-2</c:v>
                </c:pt>
              </c:numCache>
            </c:numRef>
          </c:xVal>
          <c:yVal>
            <c:numRef>
              <c:f>'BE Bearings Clevite'!$B$44:$P$44</c:f>
              <c:numCache>
                <c:formatCode>0</c:formatCode>
                <c:ptCount val="15"/>
                <c:pt idx="0">
                  <c:v>6</c:v>
                </c:pt>
                <c:pt idx="1">
                  <c:v>11</c:v>
                </c:pt>
                <c:pt idx="2">
                  <c:v>20</c:v>
                </c:pt>
                <c:pt idx="3">
                  <c:v>50</c:v>
                </c:pt>
                <c:pt idx="4">
                  <c:v>232</c:v>
                </c:pt>
                <c:pt idx="5">
                  <c:v>476</c:v>
                </c:pt>
                <c:pt idx="6">
                  <c:v>402</c:v>
                </c:pt>
                <c:pt idx="7">
                  <c:v>363</c:v>
                </c:pt>
                <c:pt idx="8">
                  <c:v>240</c:v>
                </c:pt>
                <c:pt idx="9">
                  <c:v>69</c:v>
                </c:pt>
                <c:pt idx="10">
                  <c:v>32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Lot-2</c:v>
          </c:tx>
          <c:marker>
            <c:symbol val="none"/>
          </c:marker>
          <c:xVal>
            <c:numRef>
              <c:f>'BE Bearings Clevite'!$B$43:$P$43</c:f>
              <c:numCache>
                <c:formatCode>0.00000</c:formatCode>
                <c:ptCount val="15"/>
                <c:pt idx="0">
                  <c:v>7.7899999999999997E-2</c:v>
                </c:pt>
                <c:pt idx="1">
                  <c:v>7.7950000000000005E-2</c:v>
                </c:pt>
                <c:pt idx="2">
                  <c:v>7.8E-2</c:v>
                </c:pt>
                <c:pt idx="3">
                  <c:v>7.8049999999999994E-2</c:v>
                </c:pt>
                <c:pt idx="4">
                  <c:v>7.8100000000000003E-2</c:v>
                </c:pt>
                <c:pt idx="5">
                  <c:v>7.8149999999999997E-2</c:v>
                </c:pt>
                <c:pt idx="6">
                  <c:v>7.8200000000000006E-2</c:v>
                </c:pt>
                <c:pt idx="7">
                  <c:v>7.8250000000000097E-2</c:v>
                </c:pt>
                <c:pt idx="8">
                  <c:v>7.8300000000000106E-2</c:v>
                </c:pt>
                <c:pt idx="9">
                  <c:v>7.83500000000001E-2</c:v>
                </c:pt>
                <c:pt idx="10">
                  <c:v>7.8400000000000095E-2</c:v>
                </c:pt>
                <c:pt idx="11">
                  <c:v>7.8450000000000103E-2</c:v>
                </c:pt>
                <c:pt idx="12">
                  <c:v>7.8500000000000097E-2</c:v>
                </c:pt>
                <c:pt idx="13">
                  <c:v>7.8550000000000106E-2</c:v>
                </c:pt>
                <c:pt idx="14">
                  <c:v>7.86000000000001E-2</c:v>
                </c:pt>
              </c:numCache>
            </c:numRef>
          </c:xVal>
          <c:yVal>
            <c:numRef>
              <c:f>'BE Bearings Clevite'!$B$45:$P$45</c:f>
              <c:numCache>
                <c:formatCode>0</c:formatCode>
                <c:ptCount val="15"/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182</c:v>
                </c:pt>
                <c:pt idx="6">
                  <c:v>220</c:v>
                </c:pt>
                <c:pt idx="7">
                  <c:v>237</c:v>
                </c:pt>
                <c:pt idx="8">
                  <c:v>239</c:v>
                </c:pt>
                <c:pt idx="9">
                  <c:v>112</c:v>
                </c:pt>
                <c:pt idx="10">
                  <c:v>18</c:v>
                </c:pt>
                <c:pt idx="11">
                  <c:v>6</c:v>
                </c:pt>
              </c:numCache>
            </c:numRef>
          </c:yVal>
          <c:smooth val="1"/>
        </c:ser>
        <c:ser>
          <c:idx val="2"/>
          <c:order val="2"/>
          <c:tx>
            <c:v>Lot-3</c:v>
          </c:tx>
          <c:marker>
            <c:symbol val="none"/>
          </c:marker>
          <c:xVal>
            <c:numRef>
              <c:f>'BE Bearings Clevite'!$B$43:$P$43</c:f>
              <c:numCache>
                <c:formatCode>0.00000</c:formatCode>
                <c:ptCount val="15"/>
                <c:pt idx="0">
                  <c:v>7.7899999999999997E-2</c:v>
                </c:pt>
                <c:pt idx="1">
                  <c:v>7.7950000000000005E-2</c:v>
                </c:pt>
                <c:pt idx="2">
                  <c:v>7.8E-2</c:v>
                </c:pt>
                <c:pt idx="3">
                  <c:v>7.8049999999999994E-2</c:v>
                </c:pt>
                <c:pt idx="4">
                  <c:v>7.8100000000000003E-2</c:v>
                </c:pt>
                <c:pt idx="5">
                  <c:v>7.8149999999999997E-2</c:v>
                </c:pt>
                <c:pt idx="6">
                  <c:v>7.8200000000000006E-2</c:v>
                </c:pt>
                <c:pt idx="7">
                  <c:v>7.8250000000000097E-2</c:v>
                </c:pt>
                <c:pt idx="8">
                  <c:v>7.8300000000000106E-2</c:v>
                </c:pt>
                <c:pt idx="9">
                  <c:v>7.83500000000001E-2</c:v>
                </c:pt>
                <c:pt idx="10">
                  <c:v>7.8400000000000095E-2</c:v>
                </c:pt>
                <c:pt idx="11">
                  <c:v>7.8450000000000103E-2</c:v>
                </c:pt>
                <c:pt idx="12">
                  <c:v>7.8500000000000097E-2</c:v>
                </c:pt>
                <c:pt idx="13">
                  <c:v>7.8550000000000106E-2</c:v>
                </c:pt>
                <c:pt idx="14">
                  <c:v>7.86000000000001E-2</c:v>
                </c:pt>
              </c:numCache>
            </c:numRef>
          </c:xVal>
          <c:yVal>
            <c:numRef>
              <c:f>'BE Bearings Clevite'!$B$46:$P$46</c:f>
              <c:numCache>
                <c:formatCode>0</c:formatCode>
                <c:ptCount val="15"/>
                <c:pt idx="2">
                  <c:v>3</c:v>
                </c:pt>
                <c:pt idx="3">
                  <c:v>3</c:v>
                </c:pt>
                <c:pt idx="4">
                  <c:v>16</c:v>
                </c:pt>
                <c:pt idx="5">
                  <c:v>105</c:v>
                </c:pt>
                <c:pt idx="6">
                  <c:v>274</c:v>
                </c:pt>
                <c:pt idx="7">
                  <c:v>369</c:v>
                </c:pt>
                <c:pt idx="8">
                  <c:v>467</c:v>
                </c:pt>
                <c:pt idx="9">
                  <c:v>416</c:v>
                </c:pt>
                <c:pt idx="10">
                  <c:v>240</c:v>
                </c:pt>
                <c:pt idx="11">
                  <c:v>96</c:v>
                </c:pt>
                <c:pt idx="12">
                  <c:v>30</c:v>
                </c:pt>
                <c:pt idx="13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775744"/>
        <c:axId val="696776320"/>
      </c:scatterChart>
      <c:valAx>
        <c:axId val="696775744"/>
        <c:scaling>
          <c:orientation val="minMax"/>
          <c:max val="7.8600000000000017E-2"/>
          <c:min val="7.7900000000000011E-2"/>
        </c:scaling>
        <c:delete val="0"/>
        <c:axPos val="b"/>
        <c:numFmt formatCode="0.0000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96776320"/>
        <c:crosses val="autoZero"/>
        <c:crossBetween val="midCat"/>
        <c:majorUnit val="1.0000000000000003E-4"/>
      </c:valAx>
      <c:valAx>
        <c:axId val="696776320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9677574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Rod Big-End Eccentricity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Bolts'!$Q$34:$X$34,'Connecting Rod Bolts'!$Q$35:$X$35,'Connecting Rod Bolts'!$Q$36:$X$36,'Connecting Rod Bolts'!$Q$37:$X$37,'Connecting Rod Bolts'!$Q$38:$X$38,'Connecting Rod Bolts'!$Q$39:$X$39,'Connecting Rod Bolts'!$Q$40:$X$40)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Bolts'!$Y$34:$AF$34,'Connecting Rod Bolts'!$Y$35:$AF$35,'Connecting Rod Bolts'!$Y$36:$AF$36,'Connecting Rod Bolts'!$Y$37:$AF$37,'Connecting Rod Bolts'!$Y$38:$AF$38,'Connecting Rod Bolts'!$Y$39:$AF$39,'Connecting Rod Bolts'!$Y$40:$AF$40)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ARP-2000, 45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Bolts'!$Q$49:$X$49,'Connecting Rod Bolts'!$Q$50:$X$50,'Connecting Rod Bolts'!$Q$51:$X$51,'Connecting Rod Bolts'!$Q$52:$X$52,'Connecting Rod Bolts'!$Q$53:$X$53,'Connecting Rod Bolts'!$Q$54:$X$54,'Connecting Rod Bolts'!$Q$55:$X$55)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Bolts'!$Y$49:$AF$49,'Connecting Rod Bolts'!$Y$50:$AF$50,'Connecting Rod Bolts'!$Y$51:$AF$51,'Connecting Rod Bolts'!$Y$52:$AF$52,'Connecting Rod Bolts'!$Y$53:$AF$53,'Connecting Rod Bolts'!$Y$54:$AF$54,'Connecting Rod Bolts'!$Y$55:$AF$55)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1.2500000000059686E-4</c:v>
                </c:pt>
                <c:pt idx="9">
                  <c:v>4.9999999999883471E-5</c:v>
                </c:pt>
                <c:pt idx="10">
                  <c:v>-4.9999999999883471E-5</c:v>
                </c:pt>
                <c:pt idx="11">
                  <c:v>7.5000000000269296E-5</c:v>
                </c:pt>
                <c:pt idx="12">
                  <c:v>1.9999999999997797E-4</c:v>
                </c:pt>
                <c:pt idx="13">
                  <c:v>1.0000000000021103E-4</c:v>
                </c:pt>
                <c:pt idx="14">
                  <c:v>1.7500000000003624E-4</c:v>
                </c:pt>
                <c:pt idx="15">
                  <c:v>1.9999999999997797E-4</c:v>
                </c:pt>
                <c:pt idx="16">
                  <c:v>1.5000000000053859E-4</c:v>
                </c:pt>
                <c:pt idx="17">
                  <c:v>7.5000000000269296E-5</c:v>
                </c:pt>
                <c:pt idx="18">
                  <c:v>1.7500000000003624E-4</c:v>
                </c:pt>
                <c:pt idx="19">
                  <c:v>1.2500000000015277E-4</c:v>
                </c:pt>
                <c:pt idx="20">
                  <c:v>1.500000000000945E-4</c:v>
                </c:pt>
                <c:pt idx="21">
                  <c:v>4.9999999999883471E-5</c:v>
                </c:pt>
                <c:pt idx="22">
                  <c:v>1.7500000000003624E-4</c:v>
                </c:pt>
                <c:pt idx="23">
                  <c:v>3.00000000000189E-4</c:v>
                </c:pt>
                <c:pt idx="24">
                  <c:v>1.500000000000945E-4</c:v>
                </c:pt>
                <c:pt idx="25">
                  <c:v>9.9999999999766942E-5</c:v>
                </c:pt>
                <c:pt idx="26">
                  <c:v>4.9999999999883471E-5</c:v>
                </c:pt>
                <c:pt idx="27">
                  <c:v>1.9999999999997797E-4</c:v>
                </c:pt>
                <c:pt idx="28">
                  <c:v>3.9999999999995595E-4</c:v>
                </c:pt>
                <c:pt idx="29">
                  <c:v>1.0000000000021103E-4</c:v>
                </c:pt>
                <c:pt idx="30">
                  <c:v>2.9999999999974492E-4</c:v>
                </c:pt>
                <c:pt idx="31">
                  <c:v>4.9999999999972289E-4</c:v>
                </c:pt>
                <c:pt idx="32">
                  <c:v>1.5000000000053859E-4</c:v>
                </c:pt>
                <c:pt idx="33">
                  <c:v>7.5000000000269296E-5</c:v>
                </c:pt>
                <c:pt idx="34">
                  <c:v>2.4999999999941735E-5</c:v>
                </c:pt>
                <c:pt idx="35">
                  <c:v>1.0000000000021103E-4</c:v>
                </c:pt>
                <c:pt idx="36">
                  <c:v>2.7499999999980318E-4</c:v>
                </c:pt>
                <c:pt idx="37">
                  <c:v>1.0000000000021103E-4</c:v>
                </c:pt>
                <c:pt idx="38">
                  <c:v>1.7500000000003624E-4</c:v>
                </c:pt>
                <c:pt idx="39">
                  <c:v>3.9999999999995595E-4</c:v>
                </c:pt>
                <c:pt idx="40">
                  <c:v>1.2500000000059686E-4</c:v>
                </c:pt>
                <c:pt idx="41">
                  <c:v>4.9999999999883471E-5</c:v>
                </c:pt>
                <c:pt idx="42">
                  <c:v>-4.9999999999883471E-5</c:v>
                </c:pt>
                <c:pt idx="43">
                  <c:v>7.5000000000269296E-5</c:v>
                </c:pt>
                <c:pt idx="44">
                  <c:v>1.9999999999997797E-4</c:v>
                </c:pt>
                <c:pt idx="45">
                  <c:v>1.0000000000021103E-4</c:v>
                </c:pt>
                <c:pt idx="46">
                  <c:v>1.7500000000003624E-4</c:v>
                </c:pt>
                <c:pt idx="47">
                  <c:v>1.9999999999997797E-4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ARP-2000, 50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Bolts'!$Q$66:$X$66,'Connecting Rod Bolts'!$Q$67:$X$67,'Connecting Rod Bolts'!$Q$68:$X$68,'Connecting Rod Bolts'!$Q$69:$X$69,'Connecting Rod Bolts'!$Q$70:$X$70,'Connecting Rod Bolts'!$Q$71:$X$71,'Connecting Rod Bolts'!$Q$72:$X$72)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Bolts'!$Y$66:$AF$66,'Connecting Rod Bolts'!$Y$67:$AF$67,'Connecting Rod Bolts'!$Y$68:$AF$68,'Connecting Rod Bolts'!$Y$69:$AF$69,'Connecting Rod Bolts'!$Y$70:$AF$70,'Connecting Rod Bolts'!$Y$71:$AF$71,'Connecting Rod Bolts'!$Y$72:$AF$72)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-1.0000000000021103E-4</c:v>
                </c:pt>
                <c:pt idx="10">
                  <c:v>-1.2500000000015277E-4</c:v>
                </c:pt>
                <c:pt idx="11">
                  <c:v>-2.4999999999941735E-5</c:v>
                </c:pt>
                <c:pt idx="12">
                  <c:v>0</c:v>
                </c:pt>
                <c:pt idx="13">
                  <c:v>-1.0000000000021103E-4</c:v>
                </c:pt>
                <c:pt idx="14">
                  <c:v>-7.4999999999825206E-5</c:v>
                </c:pt>
                <c:pt idx="15">
                  <c:v>0</c:v>
                </c:pt>
                <c:pt idx="16">
                  <c:v>-1.7500000000003624E-4</c:v>
                </c:pt>
                <c:pt idx="17">
                  <c:v>-1.9999999999997797E-4</c:v>
                </c:pt>
                <c:pt idx="18">
                  <c:v>-1.9999999999997797E-4</c:v>
                </c:pt>
                <c:pt idx="19">
                  <c:v>-2.2499999999991971E-4</c:v>
                </c:pt>
                <c:pt idx="20">
                  <c:v>-1.500000000000945E-4</c:v>
                </c:pt>
                <c:pt idx="21">
                  <c:v>-3.00000000000189E-4</c:v>
                </c:pt>
                <c:pt idx="22">
                  <c:v>-2.250000000003638E-4</c:v>
                </c:pt>
                <c:pt idx="23">
                  <c:v>-2.2499999999991971E-4</c:v>
                </c:pt>
                <c:pt idx="24">
                  <c:v>-2.4999999999986144E-4</c:v>
                </c:pt>
                <c:pt idx="25">
                  <c:v>-2.9999999999974492E-4</c:v>
                </c:pt>
                <c:pt idx="26">
                  <c:v>-2.2499999999991971E-4</c:v>
                </c:pt>
                <c:pt idx="27">
                  <c:v>-2.9999999999974492E-4</c:v>
                </c:pt>
                <c:pt idx="28">
                  <c:v>-1.7500000000003624E-4</c:v>
                </c:pt>
                <c:pt idx="29">
                  <c:v>-3.7500000000001421E-4</c:v>
                </c:pt>
                <c:pt idx="30">
                  <c:v>-3.7500000000001421E-4</c:v>
                </c:pt>
                <c:pt idx="31">
                  <c:v>-2.2499999999991971E-4</c:v>
                </c:pt>
                <c:pt idx="32">
                  <c:v>-1.7500000000003624E-4</c:v>
                </c:pt>
                <c:pt idx="33">
                  <c:v>-1.9999999999997797E-4</c:v>
                </c:pt>
                <c:pt idx="34">
                  <c:v>-1.9999999999997797E-4</c:v>
                </c:pt>
                <c:pt idx="35">
                  <c:v>-2.2499999999991971E-4</c:v>
                </c:pt>
                <c:pt idx="36">
                  <c:v>-1.500000000000945E-4</c:v>
                </c:pt>
                <c:pt idx="37">
                  <c:v>-3.00000000000189E-4</c:v>
                </c:pt>
                <c:pt idx="38">
                  <c:v>-2.250000000003638E-4</c:v>
                </c:pt>
                <c:pt idx="39">
                  <c:v>-2.2499999999991971E-4</c:v>
                </c:pt>
                <c:pt idx="40">
                  <c:v>0</c:v>
                </c:pt>
                <c:pt idx="41">
                  <c:v>-1.0000000000021103E-4</c:v>
                </c:pt>
                <c:pt idx="42">
                  <c:v>-1.2500000000015277E-4</c:v>
                </c:pt>
                <c:pt idx="43">
                  <c:v>-2.4999999999941735E-5</c:v>
                </c:pt>
                <c:pt idx="44">
                  <c:v>0</c:v>
                </c:pt>
                <c:pt idx="45">
                  <c:v>-1.0000000000021103E-4</c:v>
                </c:pt>
                <c:pt idx="46">
                  <c:v>-7.4999999999825206E-5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005120"/>
        <c:axId val="696836096"/>
      </c:scatterChart>
      <c:valAx>
        <c:axId val="70100512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6836096"/>
        <c:crossesAt val="0"/>
        <c:crossBetween val="midCat"/>
        <c:majorUnit val="22.5"/>
      </c:valAx>
      <c:valAx>
        <c:axId val="696836096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70100512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BE Bearings vs. Stock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BMW 088/089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088_089'!$AD$4:$AK$4,'Virgin 088_089'!$AD$5:$AK$5,'Virgin 088_089'!$AD$6:$AK$6,'Virgin 088_089'!$AD$7:$AK$7,'Virgin 088_089'!$AD$8:$AK$8,'Virgin 088_089'!$AD$9:$AK$9,'Virgin 088_089'!$AD$10:$AK$10)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088_089'!$Q$4:$X$4,'Virgin 088_089'!$Q$5:$X$5,'Virgin 088_089'!$Q$6:$X$6,'Virgin 088_089'!$Q$7:$X$7,'Virgin 088_089'!$Q$8:$X$8,'Virgin 088_089'!$Q$9:$X$9,'Virgin 088_089'!$Q$10:$X$10)</c:f>
              <c:numCache>
                <c:formatCode>0.00000</c:formatCode>
                <c:ptCount val="56"/>
                <c:pt idx="0">
                  <c:v>2.8500000000000192E-3</c:v>
                </c:pt>
                <c:pt idx="1">
                  <c:v>2.4999999999999467E-3</c:v>
                </c:pt>
                <c:pt idx="2">
                  <c:v>2.3999999999997357E-3</c:v>
                </c:pt>
                <c:pt idx="3">
                  <c:v>2.5999999999997137E-3</c:v>
                </c:pt>
                <c:pt idx="4">
                  <c:v>2.6000000000001577E-3</c:v>
                </c:pt>
                <c:pt idx="5">
                  <c:v>2.5499999999998302E-3</c:v>
                </c:pt>
                <c:pt idx="6">
                  <c:v>2.3499999999998522E-3</c:v>
                </c:pt>
                <c:pt idx="7">
                  <c:v>2.4999999999999467E-3</c:v>
                </c:pt>
                <c:pt idx="8">
                  <c:v>7.5000000000002842E-4</c:v>
                </c:pt>
                <c:pt idx="9">
                  <c:v>7.0000000000014495E-4</c:v>
                </c:pt>
                <c:pt idx="10">
                  <c:v>8.4999999999979536E-4</c:v>
                </c:pt>
                <c:pt idx="11">
                  <c:v>8.4999999999979536E-4</c:v>
                </c:pt>
                <c:pt idx="12">
                  <c:v>7.9999999999991189E-4</c:v>
                </c:pt>
                <c:pt idx="13">
                  <c:v>8.9999999999967883E-4</c:v>
                </c:pt>
                <c:pt idx="14">
                  <c:v>8.4999999999979536E-4</c:v>
                </c:pt>
                <c:pt idx="15">
                  <c:v>8.4999999999979536E-4</c:v>
                </c:pt>
                <c:pt idx="16">
                  <c:v>3.00000000000189E-4</c:v>
                </c:pt>
                <c:pt idx="17">
                  <c:v>1.0000000000021103E-4</c:v>
                </c:pt>
                <c:pt idx="18">
                  <c:v>4.4999999999983942E-4</c:v>
                </c:pt>
                <c:pt idx="19">
                  <c:v>1.9999999999997797E-4</c:v>
                </c:pt>
                <c:pt idx="20">
                  <c:v>2.9999999999974492E-4</c:v>
                </c:pt>
                <c:pt idx="21">
                  <c:v>9.9999999999766942E-5</c:v>
                </c:pt>
                <c:pt idx="22">
                  <c:v>3.5000000000007248E-4</c:v>
                </c:pt>
                <c:pt idx="23">
                  <c:v>2.9999999999974492E-4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1.500000000000945E-4</c:v>
                </c:pt>
                <c:pt idx="33">
                  <c:v>3.00000000000189E-4</c:v>
                </c:pt>
                <c:pt idx="34">
                  <c:v>2.4999999999986144E-4</c:v>
                </c:pt>
                <c:pt idx="35">
                  <c:v>4.4999999999983942E-4</c:v>
                </c:pt>
                <c:pt idx="36">
                  <c:v>1.9999999999997797E-4</c:v>
                </c:pt>
                <c:pt idx="37">
                  <c:v>1.4999999999965041E-4</c:v>
                </c:pt>
                <c:pt idx="38">
                  <c:v>3.9999999999995595E-4</c:v>
                </c:pt>
                <c:pt idx="39">
                  <c:v>1.9999999999997797E-4</c:v>
                </c:pt>
                <c:pt idx="40">
                  <c:v>7.5000000000002842E-4</c:v>
                </c:pt>
                <c:pt idx="41">
                  <c:v>7.0000000000014495E-4</c:v>
                </c:pt>
                <c:pt idx="42">
                  <c:v>8.4999999999979536E-4</c:v>
                </c:pt>
                <c:pt idx="43">
                  <c:v>7.5000000000002842E-4</c:v>
                </c:pt>
                <c:pt idx="44">
                  <c:v>8.4999999999979536E-4</c:v>
                </c:pt>
                <c:pt idx="45">
                  <c:v>8.4999999999979536E-4</c:v>
                </c:pt>
                <c:pt idx="46">
                  <c:v>7.0000000000014495E-4</c:v>
                </c:pt>
                <c:pt idx="47">
                  <c:v>8.4999999999979536E-4</c:v>
                </c:pt>
                <c:pt idx="48">
                  <c:v>2.7500000000002522E-3</c:v>
                </c:pt>
                <c:pt idx="49">
                  <c:v>3.1000000000003247E-3</c:v>
                </c:pt>
                <c:pt idx="50">
                  <c:v>2.3999999999997357E-3</c:v>
                </c:pt>
                <c:pt idx="51">
                  <c:v>2.6500000000000412E-3</c:v>
                </c:pt>
                <c:pt idx="52">
                  <c:v>2.5499999999998302E-3</c:v>
                </c:pt>
                <c:pt idx="53">
                  <c:v>2.1999999999997577E-3</c:v>
                </c:pt>
                <c:pt idx="54">
                  <c:v>2.4999999999999467E-3</c:v>
                </c:pt>
                <c:pt idx="55">
                  <c:v>2.5499999999998302E-3</c:v>
                </c:pt>
              </c:numCache>
            </c:numRef>
          </c:yVal>
          <c:smooth val="0"/>
        </c:ser>
        <c:ser>
          <c:idx val="1"/>
          <c:order val="1"/>
          <c:tx>
            <c:v>BMW 702/703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702_703'!$AD$4:$AK$4,'Virgin 702_703'!$AD$5:$AK$5,'Virgin 702_703'!$AD$6:$AK$6,'Virgin 702_703'!$AD$7:$AK$7,'Virgin 702_703'!$AD$8:$AK$8,'Virgin 702_703'!$AD$9:$AK$9,'Virgin 702_703'!$AD$10:$AK$10)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702_703'!$Q$4:$X$4,'Virgin 702_703'!$Q$5:$X$5,'Virgin 702_703'!$Q$6:$X$6,'Virgin 702_703'!$Q$7:$X$7,'Virgin 702_703'!$Q$8:$X$8,'Virgin 702_703'!$Q$9:$X$9,'Virgin 702_703'!$Q$10:$X$10)</c:f>
              <c:numCache>
                <c:formatCode>0.00000</c:formatCode>
                <c:ptCount val="56"/>
                <c:pt idx="0">
                  <c:v>4.5000000000001705E-3</c:v>
                </c:pt>
                <c:pt idx="1">
                  <c:v>4.750000000000032E-3</c:v>
                </c:pt>
                <c:pt idx="2">
                  <c:v>4.5000000000001705E-3</c:v>
                </c:pt>
                <c:pt idx="3">
                  <c:v>4.5999999999999375E-3</c:v>
                </c:pt>
                <c:pt idx="4">
                  <c:v>4.1500000000000981E-3</c:v>
                </c:pt>
                <c:pt idx="5">
                  <c:v>4.3000000000001926E-3</c:v>
                </c:pt>
                <c:pt idx="6">
                  <c:v>4.5000000000001705E-3</c:v>
                </c:pt>
                <c:pt idx="7">
                  <c:v>4.7000000000001485E-3</c:v>
                </c:pt>
                <c:pt idx="8">
                  <c:v>2.1500000000003183E-3</c:v>
                </c:pt>
                <c:pt idx="9">
                  <c:v>2.1999999999997577E-3</c:v>
                </c:pt>
                <c:pt idx="10">
                  <c:v>1.9499999999998963E-3</c:v>
                </c:pt>
                <c:pt idx="11">
                  <c:v>1.9999999999997797E-3</c:v>
                </c:pt>
                <c:pt idx="12">
                  <c:v>1.7499999999999183E-3</c:v>
                </c:pt>
                <c:pt idx="13">
                  <c:v>1.9000000000000128E-3</c:v>
                </c:pt>
                <c:pt idx="14">
                  <c:v>2.1499999999998742E-3</c:v>
                </c:pt>
                <c:pt idx="15">
                  <c:v>2.1499999999998742E-3</c:v>
                </c:pt>
                <c:pt idx="16">
                  <c:v>7.0000000000014495E-4</c:v>
                </c:pt>
                <c:pt idx="17">
                  <c:v>6.4999999999981739E-4</c:v>
                </c:pt>
                <c:pt idx="18">
                  <c:v>3.9999999999995595E-4</c:v>
                </c:pt>
                <c:pt idx="19">
                  <c:v>9.9999999999988987E-4</c:v>
                </c:pt>
                <c:pt idx="20">
                  <c:v>3.5000000000007248E-4</c:v>
                </c:pt>
                <c:pt idx="21">
                  <c:v>6.0000000000037801E-4</c:v>
                </c:pt>
                <c:pt idx="22">
                  <c:v>5.9999999999993392E-4</c:v>
                </c:pt>
                <c:pt idx="23">
                  <c:v>7.0000000000014495E-4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7.0000000000014495E-4</c:v>
                </c:pt>
                <c:pt idx="33">
                  <c:v>7.5000000000002842E-4</c:v>
                </c:pt>
                <c:pt idx="34">
                  <c:v>5.9999999999993392E-4</c:v>
                </c:pt>
                <c:pt idx="35">
                  <c:v>6.4999999999981739E-4</c:v>
                </c:pt>
                <c:pt idx="36">
                  <c:v>6.4999999999981739E-4</c:v>
                </c:pt>
                <c:pt idx="37">
                  <c:v>6.0000000000037801E-4</c:v>
                </c:pt>
                <c:pt idx="38">
                  <c:v>7.0000000000014495E-4</c:v>
                </c:pt>
                <c:pt idx="39">
                  <c:v>6.4999999999981739E-4</c:v>
                </c:pt>
                <c:pt idx="40">
                  <c:v>2.0500000000001073E-3</c:v>
                </c:pt>
                <c:pt idx="41">
                  <c:v>2.2999999999999687E-3</c:v>
                </c:pt>
                <c:pt idx="42">
                  <c:v>1.9499999999998963E-3</c:v>
                </c:pt>
                <c:pt idx="43">
                  <c:v>1.9999999999997797E-3</c:v>
                </c:pt>
                <c:pt idx="44">
                  <c:v>2.0499999999996632E-3</c:v>
                </c:pt>
                <c:pt idx="45">
                  <c:v>2.0999999999999908E-3</c:v>
                </c:pt>
                <c:pt idx="46">
                  <c:v>2.1499999999998742E-3</c:v>
                </c:pt>
                <c:pt idx="47">
                  <c:v>1.9999999999997797E-3</c:v>
                </c:pt>
                <c:pt idx="48">
                  <c:v>4.5000000000001705E-3</c:v>
                </c:pt>
                <c:pt idx="49">
                  <c:v>4.8499999999997989E-3</c:v>
                </c:pt>
                <c:pt idx="50">
                  <c:v>4.3000000000001926E-3</c:v>
                </c:pt>
                <c:pt idx="51">
                  <c:v>4.5999999999999375E-3</c:v>
                </c:pt>
                <c:pt idx="52">
                  <c:v>4.4999999999997264E-3</c:v>
                </c:pt>
                <c:pt idx="53">
                  <c:v>4.6000000000003816E-3</c:v>
                </c:pt>
                <c:pt idx="54">
                  <c:v>4.6499999999998209E-3</c:v>
                </c:pt>
                <c:pt idx="55">
                  <c:v>4.7999999999999154E-3</c:v>
                </c:pt>
              </c:numCache>
            </c:numRef>
          </c:yVal>
          <c:smooth val="0"/>
        </c:ser>
        <c:ser>
          <c:idx val="2"/>
          <c:order val="2"/>
          <c:tx>
            <c:v>BE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('BE Bearings Clevite'!$AD$4:$AK$4,'BE Bearings Clevite'!$AD$5:$AK$5,'BE Bearings Clevite'!$AD$6:$AK$6,'BE Bearings Clevite'!$AD$7:$AK$7,'BE Bearings Clevite'!$AD$8:$AK$8,'BE Bearings Clevite'!$AD$9:$AK$9,'BE Bearings Clevite'!$AD$10:$AK$10)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('BE Bearings Clevite'!$Q$4:$X$4,'BE Bearings Clevite'!$Q$5:$X$5,'BE Bearings Clevite'!$Q$6:$X$6,'BE Bearings Clevite'!$Q$7:$X$7,'BE Bearings Clevite'!$Q$8:$X$8,'BE Bearings Clevite'!$Q$9:$X$9,'BE Bearings Clevite'!$Q$10:$X$10)</c:f>
              <c:numCache>
                <c:formatCode>0.00000</c:formatCode>
                <c:ptCount val="56"/>
                <c:pt idx="0">
                  <c:v>4.1999999999999815E-3</c:v>
                </c:pt>
                <c:pt idx="1">
                  <c:v>3.1499999999997641E-3</c:v>
                </c:pt>
                <c:pt idx="2">
                  <c:v>4.350000000000076E-3</c:v>
                </c:pt>
                <c:pt idx="3">
                  <c:v>2.8999999999999027E-3</c:v>
                </c:pt>
                <c:pt idx="4">
                  <c:v>3.4999999999998366E-3</c:v>
                </c:pt>
                <c:pt idx="5">
                  <c:v>4.1500000000000981E-3</c:v>
                </c:pt>
                <c:pt idx="6">
                  <c:v>3.3499999999997421E-3</c:v>
                </c:pt>
                <c:pt idx="7">
                  <c:v>3.4000000000000696E-3</c:v>
                </c:pt>
                <c:pt idx="8">
                  <c:v>1.8999999999995687E-3</c:v>
                </c:pt>
                <c:pt idx="9">
                  <c:v>1.5499999999999403E-3</c:v>
                </c:pt>
                <c:pt idx="10">
                  <c:v>1.5999999999998238E-3</c:v>
                </c:pt>
                <c:pt idx="11">
                  <c:v>1.2999999999996348E-3</c:v>
                </c:pt>
                <c:pt idx="12">
                  <c:v>1.5000000000000568E-3</c:v>
                </c:pt>
                <c:pt idx="13">
                  <c:v>1.8000000000002458E-3</c:v>
                </c:pt>
                <c:pt idx="14">
                  <c:v>1.6499999999997073E-3</c:v>
                </c:pt>
                <c:pt idx="15">
                  <c:v>1.3999999999998458E-3</c:v>
                </c:pt>
                <c:pt idx="16">
                  <c:v>6.9999999999970086E-4</c:v>
                </c:pt>
                <c:pt idx="17">
                  <c:v>2.4999999999986144E-4</c:v>
                </c:pt>
                <c:pt idx="18">
                  <c:v>5.0000000000016698E-4</c:v>
                </c:pt>
                <c:pt idx="19">
                  <c:v>3.4999999999962839E-4</c:v>
                </c:pt>
                <c:pt idx="20">
                  <c:v>4.4999999999983942E-4</c:v>
                </c:pt>
                <c:pt idx="21">
                  <c:v>6.5000000000026148E-4</c:v>
                </c:pt>
                <c:pt idx="22">
                  <c:v>6.4999999999981739E-4</c:v>
                </c:pt>
                <c:pt idx="23">
                  <c:v>5.5000000000005045E-4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3.9999999999995595E-4</c:v>
                </c:pt>
                <c:pt idx="33">
                  <c:v>4.4999999999983942E-4</c:v>
                </c:pt>
                <c:pt idx="34">
                  <c:v>5.0000000000016698E-4</c:v>
                </c:pt>
                <c:pt idx="35">
                  <c:v>3.9999999999995595E-4</c:v>
                </c:pt>
                <c:pt idx="36">
                  <c:v>-1.0000000000021103E-4</c:v>
                </c:pt>
                <c:pt idx="37">
                  <c:v>3.5000000000007248E-4</c:v>
                </c:pt>
                <c:pt idx="38">
                  <c:v>2.9999999999974492E-4</c:v>
                </c:pt>
                <c:pt idx="39">
                  <c:v>3.5000000000007248E-4</c:v>
                </c:pt>
                <c:pt idx="40">
                  <c:v>1.4999999999996128E-3</c:v>
                </c:pt>
                <c:pt idx="41">
                  <c:v>1.6499999999997073E-3</c:v>
                </c:pt>
                <c:pt idx="42">
                  <c:v>1.7499999999999183E-3</c:v>
                </c:pt>
                <c:pt idx="43">
                  <c:v>1.6499999999997073E-3</c:v>
                </c:pt>
                <c:pt idx="44">
                  <c:v>8.9999999999967883E-4</c:v>
                </c:pt>
                <c:pt idx="45">
                  <c:v>1.3499999999999623E-3</c:v>
                </c:pt>
                <c:pt idx="46">
                  <c:v>9.9999999999988987E-4</c:v>
                </c:pt>
                <c:pt idx="47">
                  <c:v>1.1999999999998678E-3</c:v>
                </c:pt>
                <c:pt idx="48">
                  <c:v>4.5499999999996099E-3</c:v>
                </c:pt>
                <c:pt idx="49">
                  <c:v>3.2000000000000917E-3</c:v>
                </c:pt>
                <c:pt idx="50">
                  <c:v>4.1000000000002146E-3</c:v>
                </c:pt>
                <c:pt idx="51">
                  <c:v>3.8999999999997925E-3</c:v>
                </c:pt>
                <c:pt idx="52">
                  <c:v>3.4000000000000696E-3</c:v>
                </c:pt>
                <c:pt idx="53">
                  <c:v>3.9500000000001201E-3</c:v>
                </c:pt>
                <c:pt idx="54">
                  <c:v>3.4999999999998366E-3</c:v>
                </c:pt>
                <c:pt idx="55">
                  <c:v>3.0499999999999972E-3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221120"/>
        <c:axId val="697221696"/>
      </c:scatterChart>
      <c:valAx>
        <c:axId val="697221120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221696"/>
        <c:crossesAt val="0"/>
        <c:crossBetween val="midCat"/>
        <c:majorUnit val="22.5"/>
      </c:valAx>
      <c:valAx>
        <c:axId val="697221696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221120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ACL Bearings vs. Stock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ACL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('ACL Bearings'!$AH$4:$AO$4,'ACL Bearings'!$AH$5:$AO$5,'ACL Bearings'!$AH$6:$AO$6,'ACL Bearings'!$AH$7:$AO$7,'ACL Bearings'!$AH$8:$AO$8,'ACL Bearings'!$AH$9:$AO$9,'ACL Bearings'!$AH$10:$AO$10)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('ACL Bearings'!$S$4:$Z$4,'ACL Bearings'!$S$5:$Z$5,'ACL Bearings'!$S$6:$Z$6,'ACL Bearings'!$S$7:$Z$7,'ACL Bearings'!$S$8:$Z$8,'ACL Bearings'!$S$9:$Z$9,'ACL Bearings'!$S$10:$Z$10)</c:f>
              <c:numCache>
                <c:formatCode>0.00000</c:formatCode>
                <c:ptCount val="56"/>
                <c:pt idx="0">
                  <c:v>3.6999999999998145E-3</c:v>
                </c:pt>
                <c:pt idx="1">
                  <c:v>3.749999999999698E-3</c:v>
                </c:pt>
                <c:pt idx="2">
                  <c:v>4.7999999999999154E-3</c:v>
                </c:pt>
                <c:pt idx="3">
                  <c:v>4.3999999999999595E-3</c:v>
                </c:pt>
                <c:pt idx="4">
                  <c:v>2.2999999999999687E-3</c:v>
                </c:pt>
                <c:pt idx="5">
                  <c:v>4.049999999999887E-3</c:v>
                </c:pt>
                <c:pt idx="6">
                  <c:v>2.4999999999999467E-3</c:v>
                </c:pt>
                <c:pt idx="7">
                  <c:v>4.5999999999999375E-3</c:v>
                </c:pt>
                <c:pt idx="8">
                  <c:v>1.3499999999999623E-3</c:v>
                </c:pt>
                <c:pt idx="9">
                  <c:v>2.0999999999999908E-3</c:v>
                </c:pt>
                <c:pt idx="10">
                  <c:v>2.0999999999999908E-3</c:v>
                </c:pt>
                <c:pt idx="11">
                  <c:v>2.0999999999999908E-3</c:v>
                </c:pt>
                <c:pt idx="12">
                  <c:v>1.3999999999998458E-3</c:v>
                </c:pt>
                <c:pt idx="13">
                  <c:v>2.0999999999999908E-3</c:v>
                </c:pt>
                <c:pt idx="14">
                  <c:v>1.5499999999999403E-3</c:v>
                </c:pt>
                <c:pt idx="15">
                  <c:v>2.4500000000000632E-3</c:v>
                </c:pt>
                <c:pt idx="16">
                  <c:v>3.4999999999962839E-4</c:v>
                </c:pt>
                <c:pt idx="17">
                  <c:v>4.9999999999972289E-4</c:v>
                </c:pt>
                <c:pt idx="18">
                  <c:v>5.9999999999993392E-4</c:v>
                </c:pt>
                <c:pt idx="19">
                  <c:v>5.9999999999993392E-4</c:v>
                </c:pt>
                <c:pt idx="20">
                  <c:v>4.4999999999983942E-4</c:v>
                </c:pt>
                <c:pt idx="21">
                  <c:v>7.9999999999991189E-4</c:v>
                </c:pt>
                <c:pt idx="22">
                  <c:v>5.5000000000005045E-4</c:v>
                </c:pt>
                <c:pt idx="23">
                  <c:v>8.4999999999979536E-4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6.9999999999970086E-4</c:v>
                </c:pt>
                <c:pt idx="33">
                  <c:v>-1.0000000000021103E-4</c:v>
                </c:pt>
                <c:pt idx="34">
                  <c:v>5.9999999999993392E-4</c:v>
                </c:pt>
                <c:pt idx="35">
                  <c:v>9.9999999999988987E-4</c:v>
                </c:pt>
                <c:pt idx="36">
                  <c:v>6.4999999999981739E-4</c:v>
                </c:pt>
                <c:pt idx="37">
                  <c:v>5.9999999999993392E-4</c:v>
                </c:pt>
                <c:pt idx="38">
                  <c:v>6.5000000000026148E-4</c:v>
                </c:pt>
                <c:pt idx="39">
                  <c:v>6.9999999999970086E-4</c:v>
                </c:pt>
                <c:pt idx="40">
                  <c:v>2.0999999999999908E-3</c:v>
                </c:pt>
                <c:pt idx="41">
                  <c:v>1.8999999999995687E-3</c:v>
                </c:pt>
                <c:pt idx="42">
                  <c:v>1.7999999999998018E-3</c:v>
                </c:pt>
                <c:pt idx="43">
                  <c:v>2.2000000000002018E-3</c:v>
                </c:pt>
                <c:pt idx="44">
                  <c:v>1.8500000000001293E-3</c:v>
                </c:pt>
                <c:pt idx="45">
                  <c:v>2.2000000000002018E-3</c:v>
                </c:pt>
                <c:pt idx="46">
                  <c:v>1.5499999999999403E-3</c:v>
                </c:pt>
                <c:pt idx="47">
                  <c:v>1.9999999999997797E-3</c:v>
                </c:pt>
                <c:pt idx="48">
                  <c:v>2.9999999999996696E-3</c:v>
                </c:pt>
                <c:pt idx="49">
                  <c:v>3.54999999999972E-3</c:v>
                </c:pt>
                <c:pt idx="50">
                  <c:v>2.6000000000001577E-3</c:v>
                </c:pt>
                <c:pt idx="51">
                  <c:v>3.6000000000000476E-3</c:v>
                </c:pt>
                <c:pt idx="52">
                  <c:v>4.049999999999887E-3</c:v>
                </c:pt>
                <c:pt idx="53">
                  <c:v>3.6999999999998145E-3</c:v>
                </c:pt>
                <c:pt idx="54">
                  <c:v>3.7500000000001421E-3</c:v>
                </c:pt>
                <c:pt idx="55">
                  <c:v>2.6500000000000412E-3</c:v>
                </c:pt>
              </c:numCache>
            </c:numRef>
          </c:yVal>
          <c:smooth val="0"/>
        </c:ser>
        <c:ser>
          <c:idx val="1"/>
          <c:order val="1"/>
          <c:tx>
            <c:v>BMW 702/703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702_703'!$AD$4:$AK$4,'Virgin 702_703'!$AD$5:$AK$5,'Virgin 702_703'!$AD$6:$AK$6,'Virgin 702_703'!$AD$7:$AK$7,'Virgin 702_703'!$AD$8:$AK$8,'Virgin 702_703'!$AD$9:$AK$9,'Virgin 702_703'!$AD$10:$AK$10)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702_703'!$Q$4:$X$4,'Virgin 702_703'!$Q$5:$X$5,'Virgin 702_703'!$Q$6:$X$6,'Virgin 702_703'!$Q$7:$X$7,'Virgin 702_703'!$Q$8:$X$8,'Virgin 702_703'!$Q$9:$X$9,'Virgin 702_703'!$Q$10:$X$10)</c:f>
              <c:numCache>
                <c:formatCode>0.00000</c:formatCode>
                <c:ptCount val="56"/>
                <c:pt idx="0">
                  <c:v>4.5000000000001705E-3</c:v>
                </c:pt>
                <c:pt idx="1">
                  <c:v>4.750000000000032E-3</c:v>
                </c:pt>
                <c:pt idx="2">
                  <c:v>4.5000000000001705E-3</c:v>
                </c:pt>
                <c:pt idx="3">
                  <c:v>4.5999999999999375E-3</c:v>
                </c:pt>
                <c:pt idx="4">
                  <c:v>4.1500000000000981E-3</c:v>
                </c:pt>
                <c:pt idx="5">
                  <c:v>4.3000000000001926E-3</c:v>
                </c:pt>
                <c:pt idx="6">
                  <c:v>4.5000000000001705E-3</c:v>
                </c:pt>
                <c:pt idx="7">
                  <c:v>4.7000000000001485E-3</c:v>
                </c:pt>
                <c:pt idx="8">
                  <c:v>2.1500000000003183E-3</c:v>
                </c:pt>
                <c:pt idx="9">
                  <c:v>2.1999999999997577E-3</c:v>
                </c:pt>
                <c:pt idx="10">
                  <c:v>1.9499999999998963E-3</c:v>
                </c:pt>
                <c:pt idx="11">
                  <c:v>1.9999999999997797E-3</c:v>
                </c:pt>
                <c:pt idx="12">
                  <c:v>1.7499999999999183E-3</c:v>
                </c:pt>
                <c:pt idx="13">
                  <c:v>1.9000000000000128E-3</c:v>
                </c:pt>
                <c:pt idx="14">
                  <c:v>2.1499999999998742E-3</c:v>
                </c:pt>
                <c:pt idx="15">
                  <c:v>2.1499999999998742E-3</c:v>
                </c:pt>
                <c:pt idx="16">
                  <c:v>7.0000000000014495E-4</c:v>
                </c:pt>
                <c:pt idx="17">
                  <c:v>6.4999999999981739E-4</c:v>
                </c:pt>
                <c:pt idx="18">
                  <c:v>3.9999999999995595E-4</c:v>
                </c:pt>
                <c:pt idx="19">
                  <c:v>9.9999999999988987E-4</c:v>
                </c:pt>
                <c:pt idx="20">
                  <c:v>3.5000000000007248E-4</c:v>
                </c:pt>
                <c:pt idx="21">
                  <c:v>6.0000000000037801E-4</c:v>
                </c:pt>
                <c:pt idx="22">
                  <c:v>5.9999999999993392E-4</c:v>
                </c:pt>
                <c:pt idx="23">
                  <c:v>7.0000000000014495E-4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7.0000000000014495E-4</c:v>
                </c:pt>
                <c:pt idx="33">
                  <c:v>7.5000000000002842E-4</c:v>
                </c:pt>
                <c:pt idx="34">
                  <c:v>5.9999999999993392E-4</c:v>
                </c:pt>
                <c:pt idx="35">
                  <c:v>6.4999999999981739E-4</c:v>
                </c:pt>
                <c:pt idx="36">
                  <c:v>6.4999999999981739E-4</c:v>
                </c:pt>
                <c:pt idx="37">
                  <c:v>6.0000000000037801E-4</c:v>
                </c:pt>
                <c:pt idx="38">
                  <c:v>7.0000000000014495E-4</c:v>
                </c:pt>
                <c:pt idx="39">
                  <c:v>6.4999999999981739E-4</c:v>
                </c:pt>
                <c:pt idx="40">
                  <c:v>2.0500000000001073E-3</c:v>
                </c:pt>
                <c:pt idx="41">
                  <c:v>2.2999999999999687E-3</c:v>
                </c:pt>
                <c:pt idx="42">
                  <c:v>1.9499999999998963E-3</c:v>
                </c:pt>
                <c:pt idx="43">
                  <c:v>1.9999999999997797E-3</c:v>
                </c:pt>
                <c:pt idx="44">
                  <c:v>2.0499999999996632E-3</c:v>
                </c:pt>
                <c:pt idx="45">
                  <c:v>2.0999999999999908E-3</c:v>
                </c:pt>
                <c:pt idx="46">
                  <c:v>2.1499999999998742E-3</c:v>
                </c:pt>
                <c:pt idx="47">
                  <c:v>1.9999999999997797E-3</c:v>
                </c:pt>
                <c:pt idx="48">
                  <c:v>4.5000000000001705E-3</c:v>
                </c:pt>
                <c:pt idx="49">
                  <c:v>4.8499999999997989E-3</c:v>
                </c:pt>
                <c:pt idx="50">
                  <c:v>4.3000000000001926E-3</c:v>
                </c:pt>
                <c:pt idx="51">
                  <c:v>4.5999999999999375E-3</c:v>
                </c:pt>
                <c:pt idx="52">
                  <c:v>4.4999999999997264E-3</c:v>
                </c:pt>
                <c:pt idx="53">
                  <c:v>4.6000000000003816E-3</c:v>
                </c:pt>
                <c:pt idx="54">
                  <c:v>4.6499999999998209E-3</c:v>
                </c:pt>
                <c:pt idx="55">
                  <c:v>4.7999999999999154E-3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8304"/>
        <c:axId val="639858880"/>
      </c:scatterChart>
      <c:valAx>
        <c:axId val="639858304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39858880"/>
        <c:crossesAt val="0"/>
        <c:crossBetween val="midCat"/>
        <c:majorUnit val="22.5"/>
      </c:valAx>
      <c:valAx>
        <c:axId val="639858880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39858304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VAC-Clevite vs. Stock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BMW 088/089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088_089'!$AD$4:$AK$4,'Virgin 088_089'!$AD$5:$AK$5,'Virgin 088_089'!$AD$6:$AK$6,'Virgin 088_089'!$AD$7:$AK$7,'Virgin 088_089'!$AD$8:$AK$8,'Virgin 088_089'!$AD$9:$AK$9,'Virgin 088_089'!$AD$10:$AK$10)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088_089'!$Q$4:$X$4,'Virgin 088_089'!$Q$5:$X$5,'Virgin 088_089'!$Q$6:$X$6,'Virgin 088_089'!$Q$7:$X$7,'Virgin 088_089'!$Q$8:$X$8,'Virgin 088_089'!$Q$9:$X$9,'Virgin 088_089'!$Q$10:$X$10)</c:f>
              <c:numCache>
                <c:formatCode>0.00000</c:formatCode>
                <c:ptCount val="56"/>
                <c:pt idx="0">
                  <c:v>2.8500000000000192E-3</c:v>
                </c:pt>
                <c:pt idx="1">
                  <c:v>2.4999999999999467E-3</c:v>
                </c:pt>
                <c:pt idx="2">
                  <c:v>2.3999999999997357E-3</c:v>
                </c:pt>
                <c:pt idx="3">
                  <c:v>2.5999999999997137E-3</c:v>
                </c:pt>
                <c:pt idx="4">
                  <c:v>2.6000000000001577E-3</c:v>
                </c:pt>
                <c:pt idx="5">
                  <c:v>2.5499999999998302E-3</c:v>
                </c:pt>
                <c:pt idx="6">
                  <c:v>2.3499999999998522E-3</c:v>
                </c:pt>
                <c:pt idx="7">
                  <c:v>2.4999999999999467E-3</c:v>
                </c:pt>
                <c:pt idx="8">
                  <c:v>7.5000000000002842E-4</c:v>
                </c:pt>
                <c:pt idx="9">
                  <c:v>7.0000000000014495E-4</c:v>
                </c:pt>
                <c:pt idx="10">
                  <c:v>8.4999999999979536E-4</c:v>
                </c:pt>
                <c:pt idx="11">
                  <c:v>8.4999999999979536E-4</c:v>
                </c:pt>
                <c:pt idx="12">
                  <c:v>7.9999999999991189E-4</c:v>
                </c:pt>
                <c:pt idx="13">
                  <c:v>8.9999999999967883E-4</c:v>
                </c:pt>
                <c:pt idx="14">
                  <c:v>8.4999999999979536E-4</c:v>
                </c:pt>
                <c:pt idx="15">
                  <c:v>8.4999999999979536E-4</c:v>
                </c:pt>
                <c:pt idx="16">
                  <c:v>3.00000000000189E-4</c:v>
                </c:pt>
                <c:pt idx="17">
                  <c:v>1.0000000000021103E-4</c:v>
                </c:pt>
                <c:pt idx="18">
                  <c:v>4.4999999999983942E-4</c:v>
                </c:pt>
                <c:pt idx="19">
                  <c:v>1.9999999999997797E-4</c:v>
                </c:pt>
                <c:pt idx="20">
                  <c:v>2.9999999999974492E-4</c:v>
                </c:pt>
                <c:pt idx="21">
                  <c:v>9.9999999999766942E-5</c:v>
                </c:pt>
                <c:pt idx="22">
                  <c:v>3.5000000000007248E-4</c:v>
                </c:pt>
                <c:pt idx="23">
                  <c:v>2.9999999999974492E-4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1.500000000000945E-4</c:v>
                </c:pt>
                <c:pt idx="33">
                  <c:v>3.00000000000189E-4</c:v>
                </c:pt>
                <c:pt idx="34">
                  <c:v>2.4999999999986144E-4</c:v>
                </c:pt>
                <c:pt idx="35">
                  <c:v>4.4999999999983942E-4</c:v>
                </c:pt>
                <c:pt idx="36">
                  <c:v>1.9999999999997797E-4</c:v>
                </c:pt>
                <c:pt idx="37">
                  <c:v>1.4999999999965041E-4</c:v>
                </c:pt>
                <c:pt idx="38">
                  <c:v>3.9999999999995595E-4</c:v>
                </c:pt>
                <c:pt idx="39">
                  <c:v>1.9999999999997797E-4</c:v>
                </c:pt>
                <c:pt idx="40">
                  <c:v>7.5000000000002842E-4</c:v>
                </c:pt>
                <c:pt idx="41">
                  <c:v>7.0000000000014495E-4</c:v>
                </c:pt>
                <c:pt idx="42">
                  <c:v>8.4999999999979536E-4</c:v>
                </c:pt>
                <c:pt idx="43">
                  <c:v>7.5000000000002842E-4</c:v>
                </c:pt>
                <c:pt idx="44">
                  <c:v>8.4999999999979536E-4</c:v>
                </c:pt>
                <c:pt idx="45">
                  <c:v>8.4999999999979536E-4</c:v>
                </c:pt>
                <c:pt idx="46">
                  <c:v>7.0000000000014495E-4</c:v>
                </c:pt>
                <c:pt idx="47">
                  <c:v>8.4999999999979536E-4</c:v>
                </c:pt>
                <c:pt idx="48">
                  <c:v>2.7500000000002522E-3</c:v>
                </c:pt>
                <c:pt idx="49">
                  <c:v>3.1000000000003247E-3</c:v>
                </c:pt>
                <c:pt idx="50">
                  <c:v>2.3999999999997357E-3</c:v>
                </c:pt>
                <c:pt idx="51">
                  <c:v>2.6500000000000412E-3</c:v>
                </c:pt>
                <c:pt idx="52">
                  <c:v>2.5499999999998302E-3</c:v>
                </c:pt>
                <c:pt idx="53">
                  <c:v>2.1999999999997577E-3</c:v>
                </c:pt>
                <c:pt idx="54">
                  <c:v>2.4999999999999467E-3</c:v>
                </c:pt>
                <c:pt idx="55">
                  <c:v>2.5499999999998302E-3</c:v>
                </c:pt>
              </c:numCache>
            </c:numRef>
          </c:yVal>
          <c:smooth val="0"/>
        </c:ser>
        <c:ser>
          <c:idx val="1"/>
          <c:order val="1"/>
          <c:tx>
            <c:v>BMW 702/703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702_703'!$AD$4:$AK$4,'Virgin 702_703'!$AD$5:$AK$5,'Virgin 702_703'!$AD$6:$AK$6,'Virgin 702_703'!$AD$7:$AK$7,'Virgin 702_703'!$AD$8:$AK$8,'Virgin 702_703'!$AD$9:$AK$9,'Virgin 702_703'!$AD$10:$AK$10)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702_703'!$Q$4:$X$4,'Virgin 702_703'!$Q$5:$X$5,'Virgin 702_703'!$Q$6:$X$6,'Virgin 702_703'!$Q$7:$X$7,'Virgin 702_703'!$Q$8:$X$8,'Virgin 702_703'!$Q$9:$X$9,'Virgin 702_703'!$Q$10:$X$10)</c:f>
              <c:numCache>
                <c:formatCode>0.00000</c:formatCode>
                <c:ptCount val="56"/>
                <c:pt idx="0">
                  <c:v>4.5000000000001705E-3</c:v>
                </c:pt>
                <c:pt idx="1">
                  <c:v>4.750000000000032E-3</c:v>
                </c:pt>
                <c:pt idx="2">
                  <c:v>4.5000000000001705E-3</c:v>
                </c:pt>
                <c:pt idx="3">
                  <c:v>4.5999999999999375E-3</c:v>
                </c:pt>
                <c:pt idx="4">
                  <c:v>4.1500000000000981E-3</c:v>
                </c:pt>
                <c:pt idx="5">
                  <c:v>4.3000000000001926E-3</c:v>
                </c:pt>
                <c:pt idx="6">
                  <c:v>4.5000000000001705E-3</c:v>
                </c:pt>
                <c:pt idx="7">
                  <c:v>4.7000000000001485E-3</c:v>
                </c:pt>
                <c:pt idx="8">
                  <c:v>2.1500000000003183E-3</c:v>
                </c:pt>
                <c:pt idx="9">
                  <c:v>2.1999999999997577E-3</c:v>
                </c:pt>
                <c:pt idx="10">
                  <c:v>1.9499999999998963E-3</c:v>
                </c:pt>
                <c:pt idx="11">
                  <c:v>1.9999999999997797E-3</c:v>
                </c:pt>
                <c:pt idx="12">
                  <c:v>1.7499999999999183E-3</c:v>
                </c:pt>
                <c:pt idx="13">
                  <c:v>1.9000000000000128E-3</c:v>
                </c:pt>
                <c:pt idx="14">
                  <c:v>2.1499999999998742E-3</c:v>
                </c:pt>
                <c:pt idx="15">
                  <c:v>2.1499999999998742E-3</c:v>
                </c:pt>
                <c:pt idx="16">
                  <c:v>7.0000000000014495E-4</c:v>
                </c:pt>
                <c:pt idx="17">
                  <c:v>6.4999999999981739E-4</c:v>
                </c:pt>
                <c:pt idx="18">
                  <c:v>3.9999999999995595E-4</c:v>
                </c:pt>
                <c:pt idx="19">
                  <c:v>9.9999999999988987E-4</c:v>
                </c:pt>
                <c:pt idx="20">
                  <c:v>3.5000000000007248E-4</c:v>
                </c:pt>
                <c:pt idx="21">
                  <c:v>6.0000000000037801E-4</c:v>
                </c:pt>
                <c:pt idx="22">
                  <c:v>5.9999999999993392E-4</c:v>
                </c:pt>
                <c:pt idx="23">
                  <c:v>7.0000000000014495E-4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7.0000000000014495E-4</c:v>
                </c:pt>
                <c:pt idx="33">
                  <c:v>7.5000000000002842E-4</c:v>
                </c:pt>
                <c:pt idx="34">
                  <c:v>5.9999999999993392E-4</c:v>
                </c:pt>
                <c:pt idx="35">
                  <c:v>6.4999999999981739E-4</c:v>
                </c:pt>
                <c:pt idx="36">
                  <c:v>6.4999999999981739E-4</c:v>
                </c:pt>
                <c:pt idx="37">
                  <c:v>6.0000000000037801E-4</c:v>
                </c:pt>
                <c:pt idx="38">
                  <c:v>7.0000000000014495E-4</c:v>
                </c:pt>
                <c:pt idx="39">
                  <c:v>6.4999999999981739E-4</c:v>
                </c:pt>
                <c:pt idx="40">
                  <c:v>2.0500000000001073E-3</c:v>
                </c:pt>
                <c:pt idx="41">
                  <c:v>2.2999999999999687E-3</c:v>
                </c:pt>
                <c:pt idx="42">
                  <c:v>1.9499999999998963E-3</c:v>
                </c:pt>
                <c:pt idx="43">
                  <c:v>1.9999999999997797E-3</c:v>
                </c:pt>
                <c:pt idx="44">
                  <c:v>2.0499999999996632E-3</c:v>
                </c:pt>
                <c:pt idx="45">
                  <c:v>2.0999999999999908E-3</c:v>
                </c:pt>
                <c:pt idx="46">
                  <c:v>2.1499999999998742E-3</c:v>
                </c:pt>
                <c:pt idx="47">
                  <c:v>1.9999999999997797E-3</c:v>
                </c:pt>
                <c:pt idx="48">
                  <c:v>4.5000000000001705E-3</c:v>
                </c:pt>
                <c:pt idx="49">
                  <c:v>4.8499999999997989E-3</c:v>
                </c:pt>
                <c:pt idx="50">
                  <c:v>4.3000000000001926E-3</c:v>
                </c:pt>
                <c:pt idx="51">
                  <c:v>4.5999999999999375E-3</c:v>
                </c:pt>
                <c:pt idx="52">
                  <c:v>4.4999999999997264E-3</c:v>
                </c:pt>
                <c:pt idx="53">
                  <c:v>4.6000000000003816E-3</c:v>
                </c:pt>
                <c:pt idx="54">
                  <c:v>4.6499999999998209E-3</c:v>
                </c:pt>
                <c:pt idx="55">
                  <c:v>4.7999999999999154E-3</c:v>
                </c:pt>
              </c:numCache>
            </c:numRef>
          </c:yVal>
          <c:smooth val="0"/>
        </c:ser>
        <c:ser>
          <c:idx val="2"/>
          <c:order val="2"/>
          <c:tx>
            <c:v>VAC-Clevite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VAC_Clevite'!$AD$4:$AK$4,'Virgin VAC_Clevite'!$AD$5:$AK$5,'Virgin VAC_Clevite'!$AD$6:$AK$6,'Virgin VAC_Clevite'!$AD$7:$AK$7,'Virgin VAC_Clevite'!$AD$8:$AK$8,'Virgin VAC_Clevite'!$AD$9:$AK$9,'Virgin VAC_Clevite'!$AD$10:$AK$10)</c:f>
              <c:numCache>
                <c:formatCode>0.000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('Virgin VAC_Clevite'!$Q$4:$X$4,'Virgin VAC_Clevite'!$Q$5:$X$5,'Virgin VAC_Clevite'!$Q$6:$X$6,'Virgin VAC_Clevite'!$Q$7:$X$7,'Virgin VAC_Clevite'!$Q$8:$X$8,'Virgin VAC_Clevite'!$Q$9:$X$9,'Virgin VAC_Clevite'!$Q$10:$X$10)</c:f>
              <c:numCache>
                <c:formatCode>0.00000</c:formatCode>
                <c:ptCount val="56"/>
                <c:pt idx="0">
                  <c:v>3.0000000000001137E-3</c:v>
                </c:pt>
                <c:pt idx="1">
                  <c:v>2.7499999999998082E-3</c:v>
                </c:pt>
                <c:pt idx="2">
                  <c:v>2.4000000000001798E-3</c:v>
                </c:pt>
                <c:pt idx="3">
                  <c:v>2.4000000000001798E-3</c:v>
                </c:pt>
                <c:pt idx="4">
                  <c:v>2.4000000000001798E-3</c:v>
                </c:pt>
                <c:pt idx="5">
                  <c:v>2.4000000000001798E-3</c:v>
                </c:pt>
                <c:pt idx="6">
                  <c:v>2.6000000000001577E-3</c:v>
                </c:pt>
                <c:pt idx="7">
                  <c:v>2.4000000000001798E-3</c:v>
                </c:pt>
                <c:pt idx="8">
                  <c:v>5.9999999999993392E-4</c:v>
                </c:pt>
                <c:pt idx="9">
                  <c:v>8.4999999999979536E-4</c:v>
                </c:pt>
                <c:pt idx="10">
                  <c:v>8.4999999999979536E-4</c:v>
                </c:pt>
                <c:pt idx="11">
                  <c:v>9.0000000000012292E-4</c:v>
                </c:pt>
                <c:pt idx="12">
                  <c:v>7.9999999999991189E-4</c:v>
                </c:pt>
                <c:pt idx="13">
                  <c:v>9.9999999999988987E-4</c:v>
                </c:pt>
                <c:pt idx="14">
                  <c:v>8.5000000000023945E-4</c:v>
                </c:pt>
                <c:pt idx="15">
                  <c:v>6.4999999999981739E-4</c:v>
                </c:pt>
                <c:pt idx="16">
                  <c:v>0</c:v>
                </c:pt>
                <c:pt idx="17">
                  <c:v>1.9999999999997797E-4</c:v>
                </c:pt>
                <c:pt idx="18">
                  <c:v>1.9999999999997797E-4</c:v>
                </c:pt>
                <c:pt idx="19">
                  <c:v>1.500000000000945E-4</c:v>
                </c:pt>
                <c:pt idx="20">
                  <c:v>1.500000000000945E-4</c:v>
                </c:pt>
                <c:pt idx="21">
                  <c:v>3.9999999999995595E-4</c:v>
                </c:pt>
                <c:pt idx="22">
                  <c:v>1.9999999999997797E-4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3.9999999999995595E-4</c:v>
                </c:pt>
                <c:pt idx="33">
                  <c:v>3.9999999999995595E-4</c:v>
                </c:pt>
                <c:pt idx="34">
                  <c:v>2.4999999999986144E-4</c:v>
                </c:pt>
                <c:pt idx="35">
                  <c:v>4.9999999999883471E-5</c:v>
                </c:pt>
                <c:pt idx="36">
                  <c:v>4.9999999999883471E-5</c:v>
                </c:pt>
                <c:pt idx="37">
                  <c:v>3.5000000000007248E-4</c:v>
                </c:pt>
                <c:pt idx="38">
                  <c:v>2.4999999999986144E-4</c:v>
                </c:pt>
                <c:pt idx="39">
                  <c:v>3.00000000000189E-4</c:v>
                </c:pt>
                <c:pt idx="40">
                  <c:v>4.4999999999983942E-4</c:v>
                </c:pt>
                <c:pt idx="41">
                  <c:v>9.9999999999988987E-4</c:v>
                </c:pt>
                <c:pt idx="42">
                  <c:v>7.9999999999991189E-4</c:v>
                </c:pt>
                <c:pt idx="43">
                  <c:v>9.5000000000000639E-4</c:v>
                </c:pt>
                <c:pt idx="44">
                  <c:v>5.9999999999993392E-4</c:v>
                </c:pt>
                <c:pt idx="45">
                  <c:v>9.0000000000012292E-4</c:v>
                </c:pt>
                <c:pt idx="46">
                  <c:v>7.9999999999991189E-4</c:v>
                </c:pt>
                <c:pt idx="47">
                  <c:v>9.5000000000000639E-4</c:v>
                </c:pt>
                <c:pt idx="48">
                  <c:v>2.0000000000002238E-3</c:v>
                </c:pt>
                <c:pt idx="49">
                  <c:v>1.5999999999998238E-3</c:v>
                </c:pt>
                <c:pt idx="50">
                  <c:v>2.6000000000001577E-3</c:v>
                </c:pt>
                <c:pt idx="51">
                  <c:v>2.4000000000001798E-3</c:v>
                </c:pt>
                <c:pt idx="52">
                  <c:v>2.0000000000002238E-3</c:v>
                </c:pt>
                <c:pt idx="53">
                  <c:v>2.4999999999999467E-3</c:v>
                </c:pt>
                <c:pt idx="54">
                  <c:v>2.4000000000001798E-3</c:v>
                </c:pt>
                <c:pt idx="55">
                  <c:v>2.2999999999999687E-3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223424"/>
        <c:axId val="697224000"/>
      </c:scatterChart>
      <c:valAx>
        <c:axId val="697223424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224000"/>
        <c:crossesAt val="0"/>
        <c:crossBetween val="midCat"/>
        <c:majorUnit val="22.5"/>
      </c:valAx>
      <c:valAx>
        <c:axId val="697224000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223424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Eccentricity: Delta between OEM and ARP Bolts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45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Bolts'!$Q$56:$X$56,'Connecting Rod Bolts'!$Q$57:$X$57,'Connecting Rod Bolts'!$Q$58:$X$58,'Connecting Rod Bolts'!$Q$59:$X$59,'Connecting Rod Bolts'!$Q$60:$X$60,'Connecting Rod Bolts'!$Q$61:$X$61,'Connecting Rod Bolts'!$Q$62:$X$62)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Bolts'!$Y$56:$AF$56,'Connecting Rod Bolts'!$Y$57:$AF$57,'Connecting Rod Bolts'!$Y$58:$AF$58,'Connecting Rod Bolts'!$Y$59:$AF$59,'Connecting Rod Bolts'!$Y$60:$AF$60,'Connecting Rod Bolts'!$Y$61:$AF$61,'Connecting Rod Bolts'!$Y$62:$AF$62)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1.6562500000072422E-4</c:v>
                </c:pt>
                <c:pt idx="9">
                  <c:v>9.0625000000010836E-5</c:v>
                </c:pt>
                <c:pt idx="10">
                  <c:v>-9.3749999997561062E-6</c:v>
                </c:pt>
                <c:pt idx="11">
                  <c:v>1.1562500000039666E-4</c:v>
                </c:pt>
                <c:pt idx="12">
                  <c:v>2.4062500000010534E-4</c:v>
                </c:pt>
                <c:pt idx="13">
                  <c:v>1.406250000003384E-4</c:v>
                </c:pt>
                <c:pt idx="14">
                  <c:v>2.156250000001636E-4</c:v>
                </c:pt>
                <c:pt idx="15">
                  <c:v>2.4062500000010534E-4</c:v>
                </c:pt>
                <c:pt idx="16">
                  <c:v>3.0312500000051479E-4</c:v>
                </c:pt>
                <c:pt idx="17">
                  <c:v>2.2812500000024549E-4</c:v>
                </c:pt>
                <c:pt idx="18">
                  <c:v>3.2812500000001243E-4</c:v>
                </c:pt>
                <c:pt idx="19">
                  <c:v>2.7812500000012896E-4</c:v>
                </c:pt>
                <c:pt idx="20">
                  <c:v>3.031250000000707E-4</c:v>
                </c:pt>
                <c:pt idx="21">
                  <c:v>2.0312499999985967E-4</c:v>
                </c:pt>
                <c:pt idx="22">
                  <c:v>3.2812500000001243E-4</c:v>
                </c:pt>
                <c:pt idx="23">
                  <c:v>4.531250000001652E-4</c:v>
                </c:pt>
                <c:pt idx="24">
                  <c:v>3.7500000000006972E-4</c:v>
                </c:pt>
                <c:pt idx="25">
                  <c:v>3.2499999999974216E-4</c:v>
                </c:pt>
                <c:pt idx="26">
                  <c:v>2.7499999999985869E-4</c:v>
                </c:pt>
                <c:pt idx="27">
                  <c:v>4.2499999999995319E-4</c:v>
                </c:pt>
                <c:pt idx="28">
                  <c:v>6.2499999999993117E-4</c:v>
                </c:pt>
                <c:pt idx="29">
                  <c:v>3.2500000000018625E-4</c:v>
                </c:pt>
                <c:pt idx="30">
                  <c:v>5.2499999999972013E-4</c:v>
                </c:pt>
                <c:pt idx="31">
                  <c:v>7.2499999999969811E-4</c:v>
                </c:pt>
                <c:pt idx="32">
                  <c:v>3.0312500000051479E-4</c:v>
                </c:pt>
                <c:pt idx="33">
                  <c:v>2.2812500000024549E-4</c:v>
                </c:pt>
                <c:pt idx="34">
                  <c:v>1.7812499999991793E-4</c:v>
                </c:pt>
                <c:pt idx="35">
                  <c:v>2.5312500000018723E-4</c:v>
                </c:pt>
                <c:pt idx="36">
                  <c:v>4.2812499999977938E-4</c:v>
                </c:pt>
                <c:pt idx="37">
                  <c:v>2.5312500000018723E-4</c:v>
                </c:pt>
                <c:pt idx="38">
                  <c:v>3.2812500000001243E-4</c:v>
                </c:pt>
                <c:pt idx="39">
                  <c:v>5.5312499999993214E-4</c:v>
                </c:pt>
                <c:pt idx="40">
                  <c:v>1.6562500000072422E-4</c:v>
                </c:pt>
                <c:pt idx="41">
                  <c:v>9.0625000000010836E-5</c:v>
                </c:pt>
                <c:pt idx="42">
                  <c:v>-9.3749999997561062E-6</c:v>
                </c:pt>
                <c:pt idx="43">
                  <c:v>1.1562500000039666E-4</c:v>
                </c:pt>
                <c:pt idx="44">
                  <c:v>2.4062500000010534E-4</c:v>
                </c:pt>
                <c:pt idx="45">
                  <c:v>1.406250000003384E-4</c:v>
                </c:pt>
                <c:pt idx="46">
                  <c:v>2.156250000001636E-4</c:v>
                </c:pt>
                <c:pt idx="47">
                  <c:v>2.4062500000010534E-4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838400"/>
        <c:axId val="696838976"/>
      </c:scatterChart>
      <c:valAx>
        <c:axId val="69683840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6838976"/>
        <c:crossesAt val="0"/>
        <c:crossBetween val="midCat"/>
        <c:majorUnit val="22.5"/>
      </c:valAx>
      <c:valAx>
        <c:axId val="696838976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683840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Eccentricity: Delta between OEM and ARP Bolts @ 50 Ft/Lbs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50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Bolts'!$Q$73:$X$73,'Connecting Rod Bolts'!$Q$74:$X$74,'Connecting Rod Bolts'!$Q$75:$X$75,'Connecting Rod Bolts'!$Q$76:$X$76,'Connecting Rod Bolts'!$Q$77:$X$77,'Connecting Rod Bolts'!$Q$78:$X$78,'Connecting Rod Bolts'!$Q$79:$X$79)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Bolts'!$Y$73:$AF$73,'Connecting Rod Bolts'!$Y$74:$AF$74,'Connecting Rod Bolts'!$Y$75:$AF$75,'Connecting Rod Bolts'!$Y$76:$AF$76,'Connecting Rod Bolts'!$Y$77:$AF$77,'Connecting Rod Bolts'!$Y$78:$AF$78,'Connecting Rod Bolts'!$Y$79:$AF$79)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4.0625000000127365E-5</c:v>
                </c:pt>
                <c:pt idx="9">
                  <c:v>-5.9375000000083666E-5</c:v>
                </c:pt>
                <c:pt idx="10">
                  <c:v>-8.4375000000025402E-5</c:v>
                </c:pt>
                <c:pt idx="11">
                  <c:v>1.5625000000185629E-5</c:v>
                </c:pt>
                <c:pt idx="12">
                  <c:v>4.0625000000127365E-5</c:v>
                </c:pt>
                <c:pt idx="13">
                  <c:v>-5.9375000000083666E-5</c:v>
                </c:pt>
                <c:pt idx="14">
                  <c:v>-3.4374999999697842E-5</c:v>
                </c:pt>
                <c:pt idx="15">
                  <c:v>4.0625000000127365E-5</c:v>
                </c:pt>
                <c:pt idx="16">
                  <c:v>-2.1875000000060041E-5</c:v>
                </c:pt>
                <c:pt idx="17">
                  <c:v>-4.6875000000001776E-5</c:v>
                </c:pt>
                <c:pt idx="18">
                  <c:v>-4.6875000000001776E-5</c:v>
                </c:pt>
                <c:pt idx="19">
                  <c:v>-7.1874999999943512E-5</c:v>
                </c:pt>
                <c:pt idx="20">
                  <c:v>3.1249999998816946E-6</c:v>
                </c:pt>
                <c:pt idx="21">
                  <c:v>-1.4687500000021281E-4</c:v>
                </c:pt>
                <c:pt idx="22">
                  <c:v>-7.1875000000387601E-5</c:v>
                </c:pt>
                <c:pt idx="23">
                  <c:v>-7.1874999999943512E-5</c:v>
                </c:pt>
                <c:pt idx="24">
                  <c:v>-2.4999999999886224E-5</c:v>
                </c:pt>
                <c:pt idx="25">
                  <c:v>-7.4999999999769695E-5</c:v>
                </c:pt>
                <c:pt idx="26">
                  <c:v>5.5511151231257827E-17</c:v>
                </c:pt>
                <c:pt idx="27">
                  <c:v>-7.4999999999769695E-5</c:v>
                </c:pt>
                <c:pt idx="28">
                  <c:v>4.9999999999938982E-5</c:v>
                </c:pt>
                <c:pt idx="29">
                  <c:v>-1.5000000000003899E-4</c:v>
                </c:pt>
                <c:pt idx="30">
                  <c:v>-1.5000000000003899E-4</c:v>
                </c:pt>
                <c:pt idx="31">
                  <c:v>5.5511151231257827E-17</c:v>
                </c:pt>
                <c:pt idx="32">
                  <c:v>-2.1875000000060041E-5</c:v>
                </c:pt>
                <c:pt idx="33">
                  <c:v>-4.6875000000001776E-5</c:v>
                </c:pt>
                <c:pt idx="34">
                  <c:v>-4.6875000000001776E-5</c:v>
                </c:pt>
                <c:pt idx="35">
                  <c:v>-7.1874999999943512E-5</c:v>
                </c:pt>
                <c:pt idx="36">
                  <c:v>3.1249999998816946E-6</c:v>
                </c:pt>
                <c:pt idx="37">
                  <c:v>-1.4687500000021281E-4</c:v>
                </c:pt>
                <c:pt idx="38">
                  <c:v>-7.1875000000387601E-5</c:v>
                </c:pt>
                <c:pt idx="39">
                  <c:v>-7.1874999999943512E-5</c:v>
                </c:pt>
                <c:pt idx="40">
                  <c:v>4.0625000000127365E-5</c:v>
                </c:pt>
                <c:pt idx="41">
                  <c:v>-5.9375000000083666E-5</c:v>
                </c:pt>
                <c:pt idx="42">
                  <c:v>-8.4375000000025402E-5</c:v>
                </c:pt>
                <c:pt idx="43">
                  <c:v>1.5625000000185629E-5</c:v>
                </c:pt>
                <c:pt idx="44">
                  <c:v>4.0625000000127365E-5</c:v>
                </c:pt>
                <c:pt idx="45">
                  <c:v>-5.9375000000083666E-5</c:v>
                </c:pt>
                <c:pt idx="46">
                  <c:v>-3.4374999999697842E-5</c:v>
                </c:pt>
                <c:pt idx="47">
                  <c:v>4.0625000000127365E-5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840704"/>
        <c:axId val="696841280"/>
      </c:scatterChart>
      <c:valAx>
        <c:axId val="69684070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6841280"/>
        <c:crossesAt val="0"/>
        <c:crossBetween val="midCat"/>
        <c:majorUnit val="22.5"/>
      </c:valAx>
      <c:valAx>
        <c:axId val="696841280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684070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Rod Big-End Eccentricity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Bolts'!$Q$34:$X$34,'Connecting Rod Bolts'!$Q$35:$X$35,'Connecting Rod Bolts'!$Q$36:$X$36,'Connecting Rod Bolts'!$Q$37:$X$37,'Connecting Rod Bolts'!$Q$38:$X$38,'Connecting Rod Bolts'!$Q$39:$X$39,'Connecting Rod Bolts'!$Q$40:$X$40)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Bolts'!$Y$34:$AF$34,'Connecting Rod Bolts'!$Y$35:$AF$35,'Connecting Rod Bolts'!$Y$36:$AF$36,'Connecting Rod Bolts'!$Y$37:$AF$37,'Connecting Rod Bolts'!$Y$38:$AF$38,'Connecting Rod Bolts'!$Y$39:$AF$39,'Connecting Rod Bolts'!$Y$40:$AF$40)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843008"/>
        <c:axId val="696843584"/>
      </c:scatterChart>
      <c:valAx>
        <c:axId val="696843008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6843584"/>
        <c:crossesAt val="0"/>
        <c:crossBetween val="midCat"/>
        <c:majorUnit val="22.5"/>
      </c:valAx>
      <c:valAx>
        <c:axId val="696843584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6843008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Rod Big-End Eccentricity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Virgin Rods, Virgin Bolts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Bolts'!$Q$34:$X$34,'Connecting Rod Bolts'!$Q$35:$X$35,'Connecting Rod Bolts'!$Q$36:$X$36,'Connecting Rod Bolts'!$Q$37:$X$37,'Connecting Rod Bolts'!$Q$38:$X$38,'Connecting Rod Bolts'!$Q$39:$X$39,'Connecting Rod Bolts'!$Q$40:$X$40)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Bolts'!$Y$34:$AF$34,'Connecting Rod Bolts'!$Y$35:$AF$35,'Connecting Rod Bolts'!$Y$36:$AF$36,'Connecting Rod Bolts'!$Y$37:$AF$37,'Connecting Rod Bolts'!$Y$38:$AF$38,'Connecting Rod Bolts'!$Y$39:$AF$39,'Connecting Rod Bolts'!$Y$40:$AF$40)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-4.9999999999883471E-5</c:v>
                </c:pt>
                <c:pt idx="9">
                  <c:v>-1.0000000000021103E-4</c:v>
                </c:pt>
                <c:pt idx="10">
                  <c:v>-5.000000000032756E-5</c:v>
                </c:pt>
                <c:pt idx="11">
                  <c:v>-5.000000000032756E-5</c:v>
                </c:pt>
                <c:pt idx="12">
                  <c:v>2.5000000000385825E-5</c:v>
                </c:pt>
                <c:pt idx="13">
                  <c:v>-1.0000000000021103E-4</c:v>
                </c:pt>
                <c:pt idx="14">
                  <c:v>-5.000000000032756E-5</c:v>
                </c:pt>
                <c:pt idx="15">
                  <c:v>4.9999999999883471E-5</c:v>
                </c:pt>
                <c:pt idx="16">
                  <c:v>-1.9999999999953388E-4</c:v>
                </c:pt>
                <c:pt idx="17">
                  <c:v>-1.500000000000945E-4</c:v>
                </c:pt>
                <c:pt idx="18">
                  <c:v>-1.7500000000003624E-4</c:v>
                </c:pt>
                <c:pt idx="19">
                  <c:v>-1.2500000000015277E-4</c:v>
                </c:pt>
                <c:pt idx="20">
                  <c:v>-1.2499999999970868E-4</c:v>
                </c:pt>
                <c:pt idx="21">
                  <c:v>-2.7500000000024727E-4</c:v>
                </c:pt>
                <c:pt idx="22">
                  <c:v>-1.2500000000015277E-4</c:v>
                </c:pt>
                <c:pt idx="23">
                  <c:v>-4.9999999999883471E-5</c:v>
                </c:pt>
                <c:pt idx="24">
                  <c:v>-2.9999999999974492E-4</c:v>
                </c:pt>
                <c:pt idx="25">
                  <c:v>-1.9999999999997797E-4</c:v>
                </c:pt>
                <c:pt idx="26">
                  <c:v>-3.00000000000189E-4</c:v>
                </c:pt>
                <c:pt idx="27">
                  <c:v>-1.7500000000003624E-4</c:v>
                </c:pt>
                <c:pt idx="28">
                  <c:v>-1.2499999999970868E-4</c:v>
                </c:pt>
                <c:pt idx="29">
                  <c:v>-5.0000000000016698E-4</c:v>
                </c:pt>
                <c:pt idx="30">
                  <c:v>-1.500000000000945E-4</c:v>
                </c:pt>
                <c:pt idx="31">
                  <c:v>-4.9999999999883471E-5</c:v>
                </c:pt>
                <c:pt idx="32">
                  <c:v>-1.9999999999953388E-4</c:v>
                </c:pt>
                <c:pt idx="33">
                  <c:v>-1.500000000000945E-4</c:v>
                </c:pt>
                <c:pt idx="34">
                  <c:v>-1.7500000000003624E-4</c:v>
                </c:pt>
                <c:pt idx="35">
                  <c:v>-1.2500000000015277E-4</c:v>
                </c:pt>
                <c:pt idx="36">
                  <c:v>-1.2499999999970868E-4</c:v>
                </c:pt>
                <c:pt idx="37">
                  <c:v>-2.7500000000024727E-4</c:v>
                </c:pt>
                <c:pt idx="38">
                  <c:v>-1.2500000000015277E-4</c:v>
                </c:pt>
                <c:pt idx="39">
                  <c:v>-4.9999999999883471E-5</c:v>
                </c:pt>
                <c:pt idx="40">
                  <c:v>-4.9999999999883471E-5</c:v>
                </c:pt>
                <c:pt idx="41">
                  <c:v>-1.0000000000021103E-4</c:v>
                </c:pt>
                <c:pt idx="42">
                  <c:v>-5.000000000032756E-5</c:v>
                </c:pt>
                <c:pt idx="43">
                  <c:v>-5.000000000032756E-5</c:v>
                </c:pt>
                <c:pt idx="44">
                  <c:v>2.5000000000385825E-5</c:v>
                </c:pt>
                <c:pt idx="45">
                  <c:v>-1.0000000000021103E-4</c:v>
                </c:pt>
                <c:pt idx="46">
                  <c:v>-5.000000000032756E-5</c:v>
                </c:pt>
                <c:pt idx="47">
                  <c:v>4.9999999999883471E-5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ARP-625, 60 ft/lbs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Bolts'!$Q$84:$X$84,'Connecting Rod Bolts'!$Q$85:$X$85,'Connecting Rod Bolts'!$Q$86:$X$86,'Connecting Rod Bolts'!$Q$87:$X$87,'Connecting Rod Bolts'!$Q$88:$X$88,'Connecting Rod Bolts'!$Q$89:$X$89,'Connecting Rod Bolts'!$Q$90:$X$90)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Bolts'!$Y$84:$AF$84,'Connecting Rod Bolts'!$Y$85:$AF$85,'Connecting Rod Bolts'!$Y$86:$AF$86,'Connecting Rod Bolts'!$Y$87:$AF$87,'Connecting Rod Bolts'!$Y$88:$AF$88,'Connecting Rod Bolts'!$Y$89:$AF$89,'Connecting Rod Bolts'!$Y$90:$AF$90)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-3.2500000000013074E-4</c:v>
                </c:pt>
                <c:pt idx="9">
                  <c:v>-1.7500000000003624E-4</c:v>
                </c:pt>
                <c:pt idx="10">
                  <c:v>-1.0000000000021103E-4</c:v>
                </c:pt>
                <c:pt idx="11">
                  <c:v>-3.2499999999968665E-4</c:v>
                </c:pt>
                <c:pt idx="12">
                  <c:v>-1.2500000000015277E-4</c:v>
                </c:pt>
                <c:pt idx="13">
                  <c:v>-1.9999999999953388E-4</c:v>
                </c:pt>
                <c:pt idx="14">
                  <c:v>-3.00000000000189E-4</c:v>
                </c:pt>
                <c:pt idx="15">
                  <c:v>-3.00000000000189E-4</c:v>
                </c:pt>
                <c:pt idx="16">
                  <c:v>-7.5000000000002842E-4</c:v>
                </c:pt>
                <c:pt idx="17">
                  <c:v>-5.9999999999993392E-4</c:v>
                </c:pt>
                <c:pt idx="18">
                  <c:v>-3.5000000000007248E-4</c:v>
                </c:pt>
                <c:pt idx="19">
                  <c:v>-7.5000000000002842E-4</c:v>
                </c:pt>
                <c:pt idx="20">
                  <c:v>-5.9999999999993392E-4</c:v>
                </c:pt>
                <c:pt idx="21">
                  <c:v>-4.9999999999972289E-4</c:v>
                </c:pt>
                <c:pt idx="22">
                  <c:v>-5.9999999999993392E-4</c:v>
                </c:pt>
                <c:pt idx="23">
                  <c:v>-5.7499999999999218E-4</c:v>
                </c:pt>
                <c:pt idx="24">
                  <c:v>-8.749999999997371E-4</c:v>
                </c:pt>
                <c:pt idx="25">
                  <c:v>-7.9999999999991189E-4</c:v>
                </c:pt>
                <c:pt idx="26">
                  <c:v>-3.5000000000007248E-4</c:v>
                </c:pt>
                <c:pt idx="27">
                  <c:v>-8.9999999999967883E-4</c:v>
                </c:pt>
                <c:pt idx="28">
                  <c:v>-7.9999999999991189E-4</c:v>
                </c:pt>
                <c:pt idx="29">
                  <c:v>-7.9999999999991189E-4</c:v>
                </c:pt>
                <c:pt idx="30">
                  <c:v>-7.5000000000002842E-4</c:v>
                </c:pt>
                <c:pt idx="31">
                  <c:v>-7.7499999999997016E-4</c:v>
                </c:pt>
                <c:pt idx="32">
                  <c:v>-7.5000000000002842E-4</c:v>
                </c:pt>
                <c:pt idx="33">
                  <c:v>-5.9999999999993392E-4</c:v>
                </c:pt>
                <c:pt idx="34">
                  <c:v>-3.5000000000007248E-4</c:v>
                </c:pt>
                <c:pt idx="35">
                  <c:v>-7.5000000000002842E-4</c:v>
                </c:pt>
                <c:pt idx="36">
                  <c:v>-5.9999999999993392E-4</c:v>
                </c:pt>
                <c:pt idx="37">
                  <c:v>-4.9999999999972289E-4</c:v>
                </c:pt>
                <c:pt idx="38">
                  <c:v>-5.9999999999993392E-4</c:v>
                </c:pt>
                <c:pt idx="39">
                  <c:v>-5.7499999999999218E-4</c:v>
                </c:pt>
                <c:pt idx="40">
                  <c:v>-3.2500000000013074E-4</c:v>
                </c:pt>
                <c:pt idx="41">
                  <c:v>-1.7500000000003624E-4</c:v>
                </c:pt>
                <c:pt idx="42">
                  <c:v>-1.0000000000021103E-4</c:v>
                </c:pt>
                <c:pt idx="43">
                  <c:v>-3.2499999999968665E-4</c:v>
                </c:pt>
                <c:pt idx="44">
                  <c:v>-1.2500000000015277E-4</c:v>
                </c:pt>
                <c:pt idx="45">
                  <c:v>-1.9999999999953388E-4</c:v>
                </c:pt>
                <c:pt idx="46">
                  <c:v>-3.00000000000189E-4</c:v>
                </c:pt>
                <c:pt idx="47">
                  <c:v>-3.00000000000189E-4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132160"/>
        <c:axId val="697132736"/>
      </c:scatterChart>
      <c:valAx>
        <c:axId val="697132160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132736"/>
        <c:crossesAt val="0"/>
        <c:crossBetween val="midCat"/>
        <c:majorUnit val="22.5"/>
      </c:valAx>
      <c:valAx>
        <c:axId val="697132736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132160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Eccentricity: Delta between OEM and ARP Bolts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ARP-625, 60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Bolts'!$Q$91:$X$91,'Connecting Rod Bolts'!$Q$92:$X$92,'Connecting Rod Bolts'!$Q$93:$X$93,'Connecting Rod Bolts'!$Q$94:$X$94,'Connecting Rod Bolts'!$Q$95:$X$95,'Connecting Rod Bolts'!$Q$96:$X$96,'Connecting Rod Bolts'!$Q$97:$X$97)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Bolts'!$Y$91:$AF$91,'Connecting Rod Bolts'!$Y$92:$AF$92,'Connecting Rod Bolts'!$Y$93:$AF$93,'Connecting Rod Bolts'!$Y$94:$AF$94,'Connecting Rod Bolts'!$Y$95:$AF$95,'Connecting Rod Bolts'!$Y$96:$AF$96,'Connecting Rod Bolts'!$Y$97:$AF$97)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-2.8437500000000338E-4</c:v>
                </c:pt>
                <c:pt idx="9">
                  <c:v>-1.3437499999990887E-4</c:v>
                </c:pt>
                <c:pt idx="10">
                  <c:v>-5.9375000000083666E-5</c:v>
                </c:pt>
                <c:pt idx="11">
                  <c:v>-2.8437499999955929E-4</c:v>
                </c:pt>
                <c:pt idx="12">
                  <c:v>-8.4375000000025402E-5</c:v>
                </c:pt>
                <c:pt idx="13">
                  <c:v>-1.5937499999940652E-4</c:v>
                </c:pt>
                <c:pt idx="14">
                  <c:v>-2.5937500000006164E-4</c:v>
                </c:pt>
                <c:pt idx="15">
                  <c:v>-2.5937500000006164E-4</c:v>
                </c:pt>
                <c:pt idx="16">
                  <c:v>-5.9687500000005222E-4</c:v>
                </c:pt>
                <c:pt idx="17">
                  <c:v>-4.4687499999995772E-4</c:v>
                </c:pt>
                <c:pt idx="18">
                  <c:v>-1.9687500000009628E-4</c:v>
                </c:pt>
                <c:pt idx="19">
                  <c:v>-5.9687500000005222E-4</c:v>
                </c:pt>
                <c:pt idx="20">
                  <c:v>-4.4687499999995772E-4</c:v>
                </c:pt>
                <c:pt idx="21">
                  <c:v>-3.4687499999974669E-4</c:v>
                </c:pt>
                <c:pt idx="22">
                  <c:v>-4.4687499999995772E-4</c:v>
                </c:pt>
                <c:pt idx="23">
                  <c:v>-4.2187500000001599E-4</c:v>
                </c:pt>
                <c:pt idx="24">
                  <c:v>-6.4999999999976188E-4</c:v>
                </c:pt>
                <c:pt idx="25">
                  <c:v>-5.7499999999993667E-4</c:v>
                </c:pt>
                <c:pt idx="26">
                  <c:v>-1.2500000000009726E-4</c:v>
                </c:pt>
                <c:pt idx="27">
                  <c:v>-6.7499999999970361E-4</c:v>
                </c:pt>
                <c:pt idx="28">
                  <c:v>-5.7499999999993667E-4</c:v>
                </c:pt>
                <c:pt idx="29">
                  <c:v>-5.7499999999993667E-4</c:v>
                </c:pt>
                <c:pt idx="30">
                  <c:v>-5.250000000000532E-4</c:v>
                </c:pt>
                <c:pt idx="31">
                  <c:v>-5.4999999999999494E-4</c:v>
                </c:pt>
                <c:pt idx="32">
                  <c:v>-5.9687500000005222E-4</c:v>
                </c:pt>
                <c:pt idx="33">
                  <c:v>-4.4687499999995772E-4</c:v>
                </c:pt>
                <c:pt idx="34">
                  <c:v>-1.9687500000009628E-4</c:v>
                </c:pt>
                <c:pt idx="35">
                  <c:v>-5.9687500000005222E-4</c:v>
                </c:pt>
                <c:pt idx="36">
                  <c:v>-4.4687499999995772E-4</c:v>
                </c:pt>
                <c:pt idx="37">
                  <c:v>-3.4687499999974669E-4</c:v>
                </c:pt>
                <c:pt idx="38">
                  <c:v>-4.4687499999995772E-4</c:v>
                </c:pt>
                <c:pt idx="39">
                  <c:v>-4.2187500000001599E-4</c:v>
                </c:pt>
                <c:pt idx="40">
                  <c:v>-2.8437500000000338E-4</c:v>
                </c:pt>
                <c:pt idx="41">
                  <c:v>-1.3437499999990887E-4</c:v>
                </c:pt>
                <c:pt idx="42">
                  <c:v>-5.9375000000083666E-5</c:v>
                </c:pt>
                <c:pt idx="43">
                  <c:v>-2.8437499999955929E-4</c:v>
                </c:pt>
                <c:pt idx="44">
                  <c:v>-8.4375000000025402E-5</c:v>
                </c:pt>
                <c:pt idx="45">
                  <c:v>-1.5937499999940652E-4</c:v>
                </c:pt>
                <c:pt idx="46">
                  <c:v>-2.5937500000006164E-4</c:v>
                </c:pt>
                <c:pt idx="47">
                  <c:v>-2.5937500000006164E-4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134464"/>
        <c:axId val="697135040"/>
      </c:scatterChart>
      <c:valAx>
        <c:axId val="697134464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135040"/>
        <c:crossesAt val="0"/>
        <c:crossBetween val="midCat"/>
        <c:majorUnit val="22.5"/>
      </c:valAx>
      <c:valAx>
        <c:axId val="697135040"/>
        <c:scaling>
          <c:orientation val="minMax"/>
          <c:max val="1.0000000000000002E-3"/>
          <c:min val="-1.0000000000000002E-3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134464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Eccentricity: Delta between OEM and ARP Bolts @ 50 Ft/Lbs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ARP-2000, 50 ft/lbs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('Connecting Rod Bolts'!$Q$73:$X$73,'Connecting Rod Bolts'!$Q$74:$X$74,'Connecting Rod Bolts'!$Q$75:$X$75,'Connecting Rod Bolts'!$Q$76:$X$76,'Connecting Rod Bolts'!$Q$77:$X$77,'Connecting Rod Bolts'!$Q$78:$X$78,'Connecting Rod Bolts'!$Q$79:$X$79)</c:f>
              <c:numCache>
                <c:formatCode>0.00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19.75</c:v>
                </c:pt>
                <c:pt idx="13">
                  <c:v>19.75</c:v>
                </c:pt>
                <c:pt idx="14">
                  <c:v>19.75</c:v>
                </c:pt>
                <c:pt idx="15">
                  <c:v>19.75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160.25</c:v>
                </c:pt>
                <c:pt idx="41">
                  <c:v>160.25</c:v>
                </c:pt>
                <c:pt idx="42">
                  <c:v>160.25</c:v>
                </c:pt>
                <c:pt idx="43">
                  <c:v>160.25</c:v>
                </c:pt>
                <c:pt idx="44">
                  <c:v>160.25</c:v>
                </c:pt>
                <c:pt idx="45">
                  <c:v>160.25</c:v>
                </c:pt>
                <c:pt idx="46">
                  <c:v>160.25</c:v>
                </c:pt>
                <c:pt idx="47">
                  <c:v>160.25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</c:numCache>
            </c:numRef>
          </c:xVal>
          <c:yVal>
            <c:numRef>
              <c:f>('Connecting Rod Bolts'!$Y$73:$AF$73,'Connecting Rod Bolts'!$Y$74:$AF$74,'Connecting Rod Bolts'!$Y$75:$AF$75,'Connecting Rod Bolts'!$Y$76:$AF$76,'Connecting Rod Bolts'!$Y$77:$AF$77,'Connecting Rod Bolts'!$Y$78:$AF$78,'Connecting Rod Bolts'!$Y$79:$AF$79)</c:f>
              <c:numCache>
                <c:formatCode>0.00000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4.0625000000127365E-5</c:v>
                </c:pt>
                <c:pt idx="9">
                  <c:v>-5.9375000000083666E-5</c:v>
                </c:pt>
                <c:pt idx="10">
                  <c:v>-8.4375000000025402E-5</c:v>
                </c:pt>
                <c:pt idx="11">
                  <c:v>1.5625000000185629E-5</c:v>
                </c:pt>
                <c:pt idx="12">
                  <c:v>4.0625000000127365E-5</c:v>
                </c:pt>
                <c:pt idx="13">
                  <c:v>-5.9375000000083666E-5</c:v>
                </c:pt>
                <c:pt idx="14">
                  <c:v>-3.4374999999697842E-5</c:v>
                </c:pt>
                <c:pt idx="15">
                  <c:v>4.0625000000127365E-5</c:v>
                </c:pt>
                <c:pt idx="16">
                  <c:v>-2.1875000000060041E-5</c:v>
                </c:pt>
                <c:pt idx="17">
                  <c:v>-4.6875000000001776E-5</c:v>
                </c:pt>
                <c:pt idx="18">
                  <c:v>-4.6875000000001776E-5</c:v>
                </c:pt>
                <c:pt idx="19">
                  <c:v>-7.1874999999943512E-5</c:v>
                </c:pt>
                <c:pt idx="20">
                  <c:v>3.1249999998816946E-6</c:v>
                </c:pt>
                <c:pt idx="21">
                  <c:v>-1.4687500000021281E-4</c:v>
                </c:pt>
                <c:pt idx="22">
                  <c:v>-7.1875000000387601E-5</c:v>
                </c:pt>
                <c:pt idx="23">
                  <c:v>-7.1874999999943512E-5</c:v>
                </c:pt>
                <c:pt idx="24">
                  <c:v>-2.4999999999886224E-5</c:v>
                </c:pt>
                <c:pt idx="25">
                  <c:v>-7.4999999999769695E-5</c:v>
                </c:pt>
                <c:pt idx="26">
                  <c:v>5.5511151231257827E-17</c:v>
                </c:pt>
                <c:pt idx="27">
                  <c:v>-7.4999999999769695E-5</c:v>
                </c:pt>
                <c:pt idx="28">
                  <c:v>4.9999999999938982E-5</c:v>
                </c:pt>
                <c:pt idx="29">
                  <c:v>-1.5000000000003899E-4</c:v>
                </c:pt>
                <c:pt idx="30">
                  <c:v>-1.5000000000003899E-4</c:v>
                </c:pt>
                <c:pt idx="31">
                  <c:v>5.5511151231257827E-17</c:v>
                </c:pt>
                <c:pt idx="32">
                  <c:v>-2.1875000000060041E-5</c:v>
                </c:pt>
                <c:pt idx="33">
                  <c:v>-4.6875000000001776E-5</c:v>
                </c:pt>
                <c:pt idx="34">
                  <c:v>-4.6875000000001776E-5</c:v>
                </c:pt>
                <c:pt idx="35">
                  <c:v>-7.1874999999943512E-5</c:v>
                </c:pt>
                <c:pt idx="36">
                  <c:v>3.1249999998816946E-6</c:v>
                </c:pt>
                <c:pt idx="37">
                  <c:v>-1.4687500000021281E-4</c:v>
                </c:pt>
                <c:pt idx="38">
                  <c:v>-7.1875000000387601E-5</c:v>
                </c:pt>
                <c:pt idx="39">
                  <c:v>-7.1874999999943512E-5</c:v>
                </c:pt>
                <c:pt idx="40">
                  <c:v>4.0625000000127365E-5</c:v>
                </c:pt>
                <c:pt idx="41">
                  <c:v>-5.9375000000083666E-5</c:v>
                </c:pt>
                <c:pt idx="42">
                  <c:v>-8.4375000000025402E-5</c:v>
                </c:pt>
                <c:pt idx="43">
                  <c:v>1.5625000000185629E-5</c:v>
                </c:pt>
                <c:pt idx="44">
                  <c:v>4.0625000000127365E-5</c:v>
                </c:pt>
                <c:pt idx="45">
                  <c:v>-5.9375000000083666E-5</c:v>
                </c:pt>
                <c:pt idx="46">
                  <c:v>-3.4374999999697842E-5</c:v>
                </c:pt>
                <c:pt idx="47">
                  <c:v>4.0625000000127365E-5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136768"/>
        <c:axId val="697137344"/>
      </c:scatterChart>
      <c:valAx>
        <c:axId val="697136768"/>
        <c:scaling>
          <c:orientation val="minMax"/>
          <c:max val="180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97137344"/>
        <c:crossesAt val="0"/>
        <c:crossBetween val="midCat"/>
        <c:majorUnit val="22.5"/>
      </c:valAx>
      <c:valAx>
        <c:axId val="697137344"/>
        <c:scaling>
          <c:orientation val="minMax"/>
          <c:max val="1.0000000000000002E-3"/>
          <c:min val="-5.0000000000000012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97136768"/>
        <c:crossesAt val="0"/>
        <c:crossBetween val="midCat"/>
        <c:majorUnit val="1.0000000000000003E-4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144</xdr:row>
      <xdr:rowOff>0</xdr:rowOff>
    </xdr:from>
    <xdr:to>
      <xdr:col>47</xdr:col>
      <xdr:colOff>37740</xdr:colOff>
      <xdr:row>172</xdr:row>
      <xdr:rowOff>151980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34</xdr:col>
      <xdr:colOff>0</xdr:colOff>
      <xdr:row>32</xdr:row>
      <xdr:rowOff>0</xdr:rowOff>
    </xdr:from>
    <xdr:to>
      <xdr:col>48</xdr:col>
      <xdr:colOff>37740</xdr:colOff>
      <xdr:row>60</xdr:row>
      <xdr:rowOff>151980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49</xdr:col>
      <xdr:colOff>0</xdr:colOff>
      <xdr:row>32</xdr:row>
      <xdr:rowOff>0</xdr:rowOff>
    </xdr:from>
    <xdr:to>
      <xdr:col>63</xdr:col>
      <xdr:colOff>37740</xdr:colOff>
      <xdr:row>60</xdr:row>
      <xdr:rowOff>151980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64</xdr:col>
      <xdr:colOff>0</xdr:colOff>
      <xdr:row>32</xdr:row>
      <xdr:rowOff>0</xdr:rowOff>
    </xdr:from>
    <xdr:to>
      <xdr:col>78</xdr:col>
      <xdr:colOff>37740</xdr:colOff>
      <xdr:row>60</xdr:row>
      <xdr:rowOff>151980</xdr:rowOff>
    </xdr:to>
    <xdr:graphicFrame macro="">
      <xdr:nvGraphicFramePr>
        <xdr:cNvPr id="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79</xdr:col>
      <xdr:colOff>0</xdr:colOff>
      <xdr:row>32</xdr:row>
      <xdr:rowOff>0</xdr:rowOff>
    </xdr:from>
    <xdr:to>
      <xdr:col>93</xdr:col>
      <xdr:colOff>37740</xdr:colOff>
      <xdr:row>60</xdr:row>
      <xdr:rowOff>151980</xdr:rowOff>
    </xdr:to>
    <xdr:graphicFrame macro="">
      <xdr:nvGraphicFramePr>
        <xdr:cNvPr id="1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34</xdr:col>
      <xdr:colOff>0</xdr:colOff>
      <xdr:row>80</xdr:row>
      <xdr:rowOff>0</xdr:rowOff>
    </xdr:from>
    <xdr:to>
      <xdr:col>48</xdr:col>
      <xdr:colOff>37740</xdr:colOff>
      <xdr:row>108</xdr:row>
      <xdr:rowOff>151980</xdr:rowOff>
    </xdr:to>
    <xdr:graphicFrame macro="">
      <xdr:nvGraphicFramePr>
        <xdr:cNvPr id="1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49</xdr:col>
      <xdr:colOff>0</xdr:colOff>
      <xdr:row>80</xdr:row>
      <xdr:rowOff>0</xdr:rowOff>
    </xdr:from>
    <xdr:to>
      <xdr:col>63</xdr:col>
      <xdr:colOff>37740</xdr:colOff>
      <xdr:row>108</xdr:row>
      <xdr:rowOff>151980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64</xdr:col>
      <xdr:colOff>0</xdr:colOff>
      <xdr:row>80</xdr:row>
      <xdr:rowOff>0</xdr:rowOff>
    </xdr:from>
    <xdr:to>
      <xdr:col>78</xdr:col>
      <xdr:colOff>37740</xdr:colOff>
      <xdr:row>108</xdr:row>
      <xdr:rowOff>151980</xdr:rowOff>
    </xdr:to>
    <xdr:graphicFrame macro="">
      <xdr:nvGraphicFramePr>
        <xdr:cNvPr id="1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79</xdr:col>
      <xdr:colOff>0</xdr:colOff>
      <xdr:row>80</xdr:row>
      <xdr:rowOff>0</xdr:rowOff>
    </xdr:from>
    <xdr:to>
      <xdr:col>93</xdr:col>
      <xdr:colOff>37740</xdr:colOff>
      <xdr:row>108</xdr:row>
      <xdr:rowOff>151980</xdr:rowOff>
    </xdr:to>
    <xdr:graphicFrame macro="">
      <xdr:nvGraphicFramePr>
        <xdr:cNvPr id="1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15</xdr:col>
      <xdr:colOff>37740</xdr:colOff>
      <xdr:row>67</xdr:row>
      <xdr:rowOff>151980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14</xdr:col>
      <xdr:colOff>37740</xdr:colOff>
      <xdr:row>52</xdr:row>
      <xdr:rowOff>151980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24</xdr:row>
      <xdr:rowOff>0</xdr:rowOff>
    </xdr:from>
    <xdr:to>
      <xdr:col>30</xdr:col>
      <xdr:colOff>37740</xdr:colOff>
      <xdr:row>52</xdr:row>
      <xdr:rowOff>151980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39</xdr:row>
      <xdr:rowOff>0</xdr:rowOff>
    </xdr:from>
    <xdr:to>
      <xdr:col>29</xdr:col>
      <xdr:colOff>37740</xdr:colOff>
      <xdr:row>67</xdr:row>
      <xdr:rowOff>151980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70</xdr:row>
      <xdr:rowOff>0</xdr:rowOff>
    </xdr:from>
    <xdr:to>
      <xdr:col>14</xdr:col>
      <xdr:colOff>37740</xdr:colOff>
      <xdr:row>98</xdr:row>
      <xdr:rowOff>151980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70</xdr:row>
      <xdr:rowOff>0</xdr:rowOff>
    </xdr:from>
    <xdr:to>
      <xdr:col>29</xdr:col>
      <xdr:colOff>37740</xdr:colOff>
      <xdr:row>98</xdr:row>
      <xdr:rowOff>151980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39</xdr:row>
      <xdr:rowOff>0</xdr:rowOff>
    </xdr:from>
    <xdr:to>
      <xdr:col>14</xdr:col>
      <xdr:colOff>37740</xdr:colOff>
      <xdr:row>67</xdr:row>
      <xdr:rowOff>151980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121</xdr:row>
      <xdr:rowOff>0</xdr:rowOff>
    </xdr:from>
    <xdr:to>
      <xdr:col>14</xdr:col>
      <xdr:colOff>37740</xdr:colOff>
      <xdr:row>149</xdr:row>
      <xdr:rowOff>151980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0</xdr:colOff>
      <xdr:row>121</xdr:row>
      <xdr:rowOff>0</xdr:rowOff>
    </xdr:from>
    <xdr:to>
      <xdr:col>29</xdr:col>
      <xdr:colOff>37740</xdr:colOff>
      <xdr:row>149</xdr:row>
      <xdr:rowOff>151980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152</xdr:row>
      <xdr:rowOff>0</xdr:rowOff>
    </xdr:from>
    <xdr:to>
      <xdr:col>14</xdr:col>
      <xdr:colOff>37740</xdr:colOff>
      <xdr:row>180</xdr:row>
      <xdr:rowOff>151980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57</xdr:row>
      <xdr:rowOff>0</xdr:rowOff>
    </xdr:from>
    <xdr:to>
      <xdr:col>29</xdr:col>
      <xdr:colOff>37740</xdr:colOff>
      <xdr:row>85</xdr:row>
      <xdr:rowOff>151980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88</xdr:row>
      <xdr:rowOff>0</xdr:rowOff>
    </xdr:from>
    <xdr:to>
      <xdr:col>14</xdr:col>
      <xdr:colOff>37740</xdr:colOff>
      <xdr:row>116</xdr:row>
      <xdr:rowOff>151980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88</xdr:row>
      <xdr:rowOff>0</xdr:rowOff>
    </xdr:from>
    <xdr:to>
      <xdr:col>29</xdr:col>
      <xdr:colOff>37740</xdr:colOff>
      <xdr:row>116</xdr:row>
      <xdr:rowOff>151980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57</xdr:row>
      <xdr:rowOff>0</xdr:rowOff>
    </xdr:from>
    <xdr:to>
      <xdr:col>14</xdr:col>
      <xdr:colOff>37740</xdr:colOff>
      <xdr:row>85</xdr:row>
      <xdr:rowOff>151980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74</xdr:row>
      <xdr:rowOff>0</xdr:rowOff>
    </xdr:from>
    <xdr:to>
      <xdr:col>29</xdr:col>
      <xdr:colOff>37740</xdr:colOff>
      <xdr:row>102</xdr:row>
      <xdr:rowOff>151980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105</xdr:row>
      <xdr:rowOff>0</xdr:rowOff>
    </xdr:from>
    <xdr:to>
      <xdr:col>14</xdr:col>
      <xdr:colOff>37740</xdr:colOff>
      <xdr:row>133</xdr:row>
      <xdr:rowOff>151980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105</xdr:row>
      <xdr:rowOff>0</xdr:rowOff>
    </xdr:from>
    <xdr:to>
      <xdr:col>29</xdr:col>
      <xdr:colOff>37740</xdr:colOff>
      <xdr:row>133</xdr:row>
      <xdr:rowOff>151980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74</xdr:row>
      <xdr:rowOff>0</xdr:rowOff>
    </xdr:from>
    <xdr:to>
      <xdr:col>14</xdr:col>
      <xdr:colOff>37740</xdr:colOff>
      <xdr:row>102</xdr:row>
      <xdr:rowOff>151980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15</xdr:col>
      <xdr:colOff>37740</xdr:colOff>
      <xdr:row>61</xdr:row>
      <xdr:rowOff>151980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15</xdr:col>
      <xdr:colOff>37740</xdr:colOff>
      <xdr:row>61</xdr:row>
      <xdr:rowOff>151980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41</xdr:row>
      <xdr:rowOff>176211</xdr:rowOff>
    </xdr:from>
    <xdr:to>
      <xdr:col>25</xdr:col>
      <xdr:colOff>304800</xdr:colOff>
      <xdr:row>59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62</xdr:row>
      <xdr:rowOff>85725</xdr:rowOff>
    </xdr:from>
    <xdr:to>
      <xdr:col>14</xdr:col>
      <xdr:colOff>590190</xdr:colOff>
      <xdr:row>91</xdr:row>
      <xdr:rowOff>47205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25</xdr:row>
      <xdr:rowOff>85725</xdr:rowOff>
    </xdr:from>
    <xdr:to>
      <xdr:col>13</xdr:col>
      <xdr:colOff>456840</xdr:colOff>
      <xdr:row>54</xdr:row>
      <xdr:rowOff>47205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5591"/>
  <sheetViews>
    <sheetView topLeftCell="A109" zoomScaleNormal="100" workbookViewId="0">
      <selection activeCell="C134" sqref="C134"/>
    </sheetView>
  </sheetViews>
  <sheetFormatPr defaultRowHeight="15"/>
  <cols>
    <col min="1" max="1" width="48.85546875" style="1"/>
    <col min="2" max="3" width="48.85546875" style="2"/>
    <col min="4" max="1025" width="8.5703125"/>
  </cols>
  <sheetData>
    <row r="1" spans="1:3" ht="15.75" customHeight="1">
      <c r="A1" s="3" t="s">
        <v>1</v>
      </c>
      <c r="B1" s="4" t="s">
        <v>2</v>
      </c>
      <c r="C1" s="5"/>
    </row>
    <row r="2" spans="1:3" s="9" customFormat="1" ht="15" customHeight="1">
      <c r="A2" s="6" t="s">
        <v>3</v>
      </c>
      <c r="B2" s="7">
        <v>8</v>
      </c>
      <c r="C2" s="8"/>
    </row>
    <row r="3" spans="1:3" s="13" customFormat="1" ht="15" customHeight="1">
      <c r="A3" s="10" t="s">
        <v>4</v>
      </c>
      <c r="B3" s="11" t="s">
        <v>5</v>
      </c>
      <c r="C3" s="12" t="s">
        <v>6</v>
      </c>
    </row>
    <row r="4" spans="1:3" s="9" customFormat="1" ht="15" customHeight="1">
      <c r="A4" s="6" t="s">
        <v>7</v>
      </c>
      <c r="B4" s="7" t="s">
        <v>8</v>
      </c>
      <c r="C4" s="8" t="s">
        <v>9</v>
      </c>
    </row>
    <row r="5" spans="1:3" s="13" customFormat="1" ht="15" customHeight="1">
      <c r="A5" s="10" t="s">
        <v>0</v>
      </c>
      <c r="B5" s="11" t="s">
        <v>10</v>
      </c>
      <c r="C5" s="12" t="s">
        <v>11</v>
      </c>
    </row>
    <row r="6" spans="1:3" s="9" customFormat="1" ht="15" customHeight="1">
      <c r="A6" s="6" t="s">
        <v>12</v>
      </c>
      <c r="B6" s="7" t="s">
        <v>13</v>
      </c>
      <c r="C6" s="8"/>
    </row>
    <row r="7" spans="1:3" s="13" customFormat="1" ht="15" customHeight="1">
      <c r="A7" s="10" t="s">
        <v>14</v>
      </c>
      <c r="B7" s="11" t="s">
        <v>15</v>
      </c>
      <c r="C7" s="12" t="s">
        <v>16</v>
      </c>
    </row>
    <row r="8" spans="1:3" s="9" customFormat="1" ht="15" customHeight="1">
      <c r="A8" s="6" t="s">
        <v>17</v>
      </c>
      <c r="B8" s="7" t="s">
        <v>18</v>
      </c>
      <c r="C8" s="8" t="s">
        <v>19</v>
      </c>
    </row>
    <row r="9" spans="1:3" s="13" customFormat="1" ht="15" customHeight="1">
      <c r="A9" s="10" t="s">
        <v>20</v>
      </c>
      <c r="B9" s="11" t="s">
        <v>21</v>
      </c>
      <c r="C9" s="12" t="s">
        <v>22</v>
      </c>
    </row>
    <row r="10" spans="1:3" ht="15" customHeight="1">
      <c r="A10" s="14"/>
      <c r="B10" s="15"/>
      <c r="C10" s="16"/>
    </row>
    <row r="11" spans="1:3" ht="15" customHeight="1">
      <c r="A11" s="17" t="s">
        <v>23</v>
      </c>
      <c r="B11" s="18" t="s">
        <v>24</v>
      </c>
      <c r="C11" s="19" t="s">
        <v>25</v>
      </c>
    </row>
    <row r="12" spans="1:3" s="76" customFormat="1" ht="15" customHeight="1">
      <c r="A12" s="69" t="s">
        <v>26</v>
      </c>
      <c r="B12" s="70" t="str">
        <f>CONCATENATE(TEXT('Crank-Main'!U2*25.4,"0.0000")," mm")</f>
        <v>59.9758 mm</v>
      </c>
      <c r="C12" s="71" t="str">
        <f>CONCATENATE(TEXT('Crank-Main'!U2, "0.00000"), " inch")</f>
        <v>2.36125 inch</v>
      </c>
    </row>
    <row r="13" spans="1:3" s="77" customFormat="1" ht="15" customHeight="1">
      <c r="A13" s="72" t="s">
        <v>27</v>
      </c>
      <c r="B13" s="73" t="str">
        <f>CONCATENATE(TEXT('Crank-Main'!T2*25.4, "0.0000"), " - ", TEXT('Crank-Main'!V2*25.4, "0.0000"), " mm")</f>
        <v>59.9694 - 59.9821 mm</v>
      </c>
      <c r="C13" s="74" t="str">
        <f>CONCATENATE(TEXT('Crank-Main'!T2, "0.00000"), " - ", TEXT('Crank-Main'!V2, "0.00000"), " inch")</f>
        <v>2.36100 - 2.36150 inch</v>
      </c>
    </row>
    <row r="14" spans="1:3" s="76" customFormat="1" ht="15" customHeight="1">
      <c r="A14" s="69" t="s">
        <v>267</v>
      </c>
      <c r="B14" s="70" t="str">
        <f>CONCATENATE(TEXT('Crank-Main'!W2*25.4, "0.0000"), ", ", TEXT('Crank-Main'!X2*25.4, "+0.0000"), " mm")</f>
        <v>-0.0063, +0.0063 mm</v>
      </c>
      <c r="C14" s="71" t="str">
        <f>CONCATENATE(TEXT('Crank-Main'!W2, "0.00000"), ", ", TEXT('Crank-Main'!X2, "+0.00000"), " inch")</f>
        <v>-0.00025, +0.00025 inch</v>
      </c>
    </row>
    <row r="15" spans="1:3" s="77" customFormat="1" ht="15" customHeight="1">
      <c r="A15" s="72" t="s">
        <v>28</v>
      </c>
      <c r="B15" s="73" t="str">
        <f>CONCATENATE(TEXT('Crank-Main'!U3*25.4,"0.0000")," mm")</f>
        <v>60.0164 mm</v>
      </c>
      <c r="C15" s="74" t="str">
        <f>CONCATENATE(TEXT('Crank-Main'!U3, "0.00000"), " inch")</f>
        <v>2.36285 inch</v>
      </c>
    </row>
    <row r="16" spans="1:3" s="76" customFormat="1" ht="15" customHeight="1">
      <c r="A16" s="69" t="s">
        <v>29</v>
      </c>
      <c r="B16" s="70" t="str">
        <f>CONCATENATE(TEXT('Crank-Main'!T3*25.4, "0.0000"), " - ", TEXT('Crank-Main'!V3*25.4, "0.0000"), " mm")</f>
        <v>60.0126 - 60.0202 mm</v>
      </c>
      <c r="C16" s="71" t="str">
        <f>CONCATENATE(TEXT('Crank-Main'!T3, "0.00000"), " - ", TEXT('Crank-Main'!V3, "0.00000"), " inch")</f>
        <v>2.36270 - 2.36300 inch</v>
      </c>
    </row>
    <row r="17" spans="1:3" s="77" customFormat="1" ht="15" customHeight="1">
      <c r="A17" s="72" t="s">
        <v>30</v>
      </c>
      <c r="B17" s="73" t="str">
        <f>CONCATENATE(TEXT('Crank-Main'!U4*25.4, "0.0000"), " mm")</f>
        <v>0.0406 mm</v>
      </c>
      <c r="C17" s="74" t="str">
        <f>CONCATENATE(TEXT('Crank-Main'!U4, "0.00000"), " inch")</f>
        <v>0.00160 inch</v>
      </c>
    </row>
    <row r="18" spans="1:3" s="76" customFormat="1" ht="15" customHeight="1">
      <c r="A18" s="69" t="s">
        <v>31</v>
      </c>
      <c r="B18" s="70" t="str">
        <f>CONCATENATE(TEXT('Crank-Main'!T4*25.4, "0.0000"), " - ", TEXT('Crank-Main'!V4*25.4, "0.0000"), " mm")</f>
        <v>0.0305 - 0.0508 mm</v>
      </c>
      <c r="C18" s="71" t="str">
        <f>CONCATENATE(TEXT('Crank-Main'!T4, "0.00000"), " - ", TEXT('Crank-Main'!V4, "0.00000"), " inch")</f>
        <v>0.00120 - 0.00200 inch</v>
      </c>
    </row>
    <row r="19" spans="1:3" s="76" customFormat="1" ht="15" customHeight="1">
      <c r="A19" s="69" t="s">
        <v>74</v>
      </c>
      <c r="B19" s="70" t="str">
        <f>CONCATENATE(TEXT('Crank-Main'!W4*25.4, "0.0000"), ", ", TEXT('Crank-Main'!X4*25.4, "+0.0000"), " mm")</f>
        <v>-0.0102, +0.0102 mm</v>
      </c>
      <c r="C19" s="71" t="str">
        <f>CONCATENATE(TEXT('Crank-Main'!W4, "0.00000"), ", ", TEXT('Crank-Main'!X4, "+0.00000"), " inch")</f>
        <v>-0.00040, +0.00040 inch</v>
      </c>
    </row>
    <row r="20" spans="1:3" s="9" customFormat="1" ht="15" customHeight="1">
      <c r="A20" s="14"/>
      <c r="B20" s="15"/>
      <c r="C20" s="16"/>
    </row>
    <row r="21" spans="1:3" ht="15" customHeight="1">
      <c r="A21" s="17" t="s">
        <v>32</v>
      </c>
      <c r="B21" s="18" t="s">
        <v>24</v>
      </c>
      <c r="C21" s="19" t="s">
        <v>25</v>
      </c>
    </row>
    <row r="22" spans="1:3" s="9" customFormat="1" ht="15" customHeight="1">
      <c r="A22" s="6" t="s">
        <v>33</v>
      </c>
      <c r="B22" s="7" t="str">
        <f>CONCATENATE(TEXT('Rod Journals'!M25*25.4,"0.0000"), "mm")</f>
        <v>51.9811mm</v>
      </c>
      <c r="C22" s="8" t="str">
        <f>CONCATENATE(TEXT('Rod Journals'!M25, "0.00000"), " inch")</f>
        <v>2.04650 inch</v>
      </c>
    </row>
    <row r="23" spans="1:3" s="13" customFormat="1" ht="15" customHeight="1">
      <c r="A23" s="10" t="s">
        <v>34</v>
      </c>
      <c r="B23" s="11" t="str">
        <f>CONCATENATE(TEXT('Rod Journals'!K25*25.4, "0.0000"), " - ", TEXT('Rod Journals'!L25*25.4, "0.0000"), " mm")</f>
        <v>51.9786 - 51.9887 mm</v>
      </c>
      <c r="C23" s="12" t="str">
        <f>CONCATENATE(TEXT('Rod Journals'!K25, "0.00000"), " - ", TEXT('Rod Journals'!L25, "0.00000"), " inch")</f>
        <v>2.04640 - 2.04680 inch</v>
      </c>
    </row>
    <row r="24" spans="1:3" s="9" customFormat="1" ht="15" customHeight="1">
      <c r="A24" s="6" t="s">
        <v>35</v>
      </c>
      <c r="B24" s="20" t="str">
        <f>CONCATENATE(TEXT('Rod Journals'!N25*25.4,"0.0000"),", ",TEXT('Rod Journals'!O25*25.4,"+0.0000")," mm")</f>
        <v>-0.0025, +0.0076 mm</v>
      </c>
      <c r="C24" s="8" t="str">
        <f>CONCATENATE(TEXT('Rod Journals'!N25,"0.00000"),", ",TEXT('Rod Journals'!O25,"+0.00000")," inch")</f>
        <v>-0.00010, +0.00030 inch</v>
      </c>
    </row>
    <row r="25" spans="1:3" s="9" customFormat="1" ht="15" customHeight="1">
      <c r="A25" s="6"/>
      <c r="B25" s="7"/>
      <c r="C25" s="8"/>
    </row>
    <row r="26" spans="1:3" ht="15" customHeight="1">
      <c r="A26" s="17" t="s">
        <v>36</v>
      </c>
      <c r="B26" s="18" t="s">
        <v>24</v>
      </c>
      <c r="C26" s="19" t="s">
        <v>25</v>
      </c>
    </row>
    <row r="27" spans="1:3" s="9" customFormat="1" ht="15" customHeight="1">
      <c r="A27" s="69" t="s">
        <v>37</v>
      </c>
      <c r="B27" s="70" t="str">
        <f>CONCATENATE(TEXT('Connecting Rod Dimensions'!D7*25.4, "0.0000"), " mm")</f>
        <v>21.0165 mm</v>
      </c>
      <c r="C27" s="71" t="str">
        <f>CONCATENATE(TEXT('Connecting Rod Dimensions'!D7, "0.00000"), " inch")</f>
        <v>0.82742 inch</v>
      </c>
    </row>
    <row r="28" spans="1:3" s="75" customFormat="1" ht="15" customHeight="1">
      <c r="A28" s="72" t="s">
        <v>38</v>
      </c>
      <c r="B28" s="73" t="str">
        <f>CONCATENATE(TEXT('Connecting Rod Dimensions'!D8*25.4, "0.0000"), " mm")</f>
        <v>56.0000 mm</v>
      </c>
      <c r="C28" s="74" t="str">
        <f>CONCATENATE(TEXT('Connecting Rod Dimensions'!D8, "0.00000"), " inch")</f>
        <v>2.20472 inch</v>
      </c>
    </row>
    <row r="29" spans="1:3" s="9" customFormat="1" ht="15" customHeight="1">
      <c r="A29" s="69" t="s">
        <v>39</v>
      </c>
      <c r="B29" s="71" t="str">
        <f>CONCATENATE(TEXT('Connecting Rod Dimensions'!B8*25.4, "0.0000"), " - ", TEXT('Connecting Rod Dimensions'!C8*25.4, "0.0000"), " mm")</f>
        <v>56.0000 - 56.0130 mm</v>
      </c>
      <c r="C29" s="71" t="str">
        <f>CONCATENATE(TEXT('Connecting Rod Dimensions'!B8, "0.00000"), " - ", TEXT('Connecting Rod Dimensions'!C8, "0.00000"), " inch")</f>
        <v>2.20472 - 2.20524 inch</v>
      </c>
    </row>
    <row r="30" spans="1:3" s="75" customFormat="1" ht="15" customHeight="1">
      <c r="A30" s="72" t="s">
        <v>40</v>
      </c>
      <c r="B30" s="73" t="str">
        <f>CONCATENATE(TEXT('Connecting Rod Dimensions'!E8*25.4,"0.0000"),", ",TEXT('Connecting Rod Dimensions'!F8*25.4,"+0.0000")," mm")</f>
        <v>0.0000, +0.0130 mm</v>
      </c>
      <c r="C30" s="74" t="str">
        <f>CONCATENATE(TEXT('Connecting Rod Dimensions'!E8,"0.00000"),", ",TEXT('Connecting Rod Dimensions'!F8,"+0.00000")," inch")</f>
        <v>0.00000, +0.00051 inch</v>
      </c>
    </row>
    <row r="31" spans="1:3" s="9" customFormat="1" ht="15" customHeight="1">
      <c r="A31" s="69" t="s">
        <v>41</v>
      </c>
      <c r="B31" s="70" t="str">
        <f>CONCATENATE(TEXT('Connecting Rod Dimensions'!D9*25.4, "0.0000"), " mm")</f>
        <v>18.4125 mm</v>
      </c>
      <c r="C31" s="71" t="str">
        <f>CONCATENATE(TEXT('Connecting Rod Dimensions'!D9, "0.00000"), " inch")</f>
        <v>0.72490 inch</v>
      </c>
    </row>
    <row r="32" spans="1:3" s="75" customFormat="1" ht="15" customHeight="1">
      <c r="A32" s="72" t="s">
        <v>39</v>
      </c>
      <c r="B32" s="73" t="str">
        <f>CONCATENATE(TEXT('Connecting Rod Dimensions'!B9*25.4, "0.0000"), " - ", TEXT('Connecting Rod Dimensions'!C9*25.4, "0.0000"), " mm")</f>
        <v>18.4010 - 18.4201 mm</v>
      </c>
      <c r="C32" s="74" t="str">
        <f>CONCATENATE(TEXT('Connecting Rod Dimensions'!B9, "0.00000"), " - ", TEXT('Connecting Rod Dimensions'!C9, "0.00000"), " inch")</f>
        <v>0.72445 - 0.72520 inch</v>
      </c>
    </row>
    <row r="33" spans="1:3" s="9" customFormat="1" ht="15" customHeight="1">
      <c r="A33" s="69" t="s">
        <v>40</v>
      </c>
      <c r="B33" s="70" t="str">
        <f>CONCATENATE(TEXT('Connecting Rod Dimensions'!E9*25.4,"0.0000"),", ",TEXT('Connecting Rod Dimensions'!F9*25.4,"+0.0000")," mm")</f>
        <v>-0.0114, +0.0076 mm</v>
      </c>
      <c r="C33" s="71" t="str">
        <f>CONCATENATE(TEXT('Connecting Rod Dimensions'!E9,"0.00000"),", ",TEXT('Connecting Rod Dimensions'!F9,"+0.00000")," inch")</f>
        <v>-0.00045, +0.00030 inch</v>
      </c>
    </row>
    <row r="34" spans="1:3" s="9" customFormat="1" ht="15" customHeight="1">
      <c r="A34" s="6"/>
      <c r="B34" s="7"/>
      <c r="C34" s="8"/>
    </row>
    <row r="35" spans="1:3" ht="15" customHeight="1">
      <c r="A35" s="17" t="s">
        <v>42</v>
      </c>
      <c r="B35" s="18" t="s">
        <v>24</v>
      </c>
      <c r="C35" s="19" t="s">
        <v>25</v>
      </c>
    </row>
    <row r="36" spans="1:3" s="9" customFormat="1" ht="15" customHeight="1">
      <c r="A36" s="6" t="s">
        <v>43</v>
      </c>
      <c r="B36" s="7" t="str">
        <f>CONCATENATE(TEXT('Virgin 088_089'!M11*25.4, "0.0000"), " mm")</f>
        <v>2.0028 mm</v>
      </c>
      <c r="C36" s="8" t="str">
        <f>CONCATENATE(TEXT('Virgin 088_089'!M11, "0.00000"), " inch")</f>
        <v>0.07885 inch</v>
      </c>
    </row>
    <row r="37" spans="1:3" s="24" customFormat="1" ht="15" customHeight="1">
      <c r="A37" s="21" t="s">
        <v>46</v>
      </c>
      <c r="B37" s="22" t="str">
        <f>CONCATENATE(TEXT('Virgin 088_089'!M12*25.4, "0.0000"), " mm")</f>
        <v>1.9977 mm</v>
      </c>
      <c r="C37" s="23" t="str">
        <f>CONCATENATE(TEXT('Virgin 088_089'!M12, "0.00000"), " inch")</f>
        <v>0.07865 inch</v>
      </c>
    </row>
    <row r="38" spans="1:3" s="9" customFormat="1" ht="15" customHeight="1">
      <c r="A38" s="6" t="s">
        <v>49</v>
      </c>
      <c r="B38" s="7" t="str">
        <f>CONCATENATE(TEXT('Virgin 088_089'!K11*25.4, "0.0000"), " - ", TEXT('Virgin 088_089'!L11*25.4, "0.0000"), " mm")</f>
        <v>2.0015 - 2.0041 mm</v>
      </c>
      <c r="C38" s="8" t="str">
        <f>CONCATENATE(TEXT('Virgin 088_089'!K11, "0.00000"), " - ", TEXT('Virgin 088_089'!L11, "0.00000"), " inch")</f>
        <v>0.07880 - 0.07890 inch</v>
      </c>
    </row>
    <row r="39" spans="1:3" s="24" customFormat="1" ht="15" customHeight="1">
      <c r="A39" s="21" t="s">
        <v>52</v>
      </c>
      <c r="B39" s="22" t="str">
        <f>CONCATENATE(TEXT('Virgin 088_089'!K12*25.4, "0.0000"), " - ", TEXT('Virgin 088_089'!L12*25.4, "0.0000"), " mm")</f>
        <v>1.9964 - 2.0015 mm</v>
      </c>
      <c r="C39" s="23" t="str">
        <f>CONCATENATE(TEXT('Virgin 088_089'!K12, "0.00000"), " - ", TEXT('Virgin 088_089'!L12, "0.00000"), " inch")</f>
        <v>0.07860 - 0.07880 inch</v>
      </c>
    </row>
    <row r="40" spans="1:3" ht="15" customHeight="1">
      <c r="A40" s="25" t="s">
        <v>55</v>
      </c>
      <c r="B40" s="26" t="str">
        <f>CONCATENATE(TEXT('Virgin 088_089'!N11*25.4, "0.0000"), " - ", TEXT('Virgin 088_089'!O11*25.4, "0.0000"), " mm")</f>
        <v>-0.0013 - 0.0013 mm</v>
      </c>
      <c r="C40" s="26" t="str">
        <f>CONCATENATE(TEXT('Virgin 088_089'!N11, "0.00000"), " - ", TEXT('Virgin 088_089'!O11, "+0.00000"), " inch")</f>
        <v>-0.00005 - +0.00005 inch</v>
      </c>
    </row>
    <row r="41" spans="1:3" s="24" customFormat="1" ht="15" customHeight="1">
      <c r="A41" s="27" t="s">
        <v>58</v>
      </c>
      <c r="B41" s="28" t="str">
        <f>CONCATENATE(TEXT('Virgin 088_089'!N12*25.4, "0.0000"), " - ", TEXT('Virgin 088_089'!O12*25.4, "0.0000"), " mm")</f>
        <v>-0.0013 - 0.0038 mm</v>
      </c>
      <c r="C41" s="28" t="str">
        <f>CONCATENATE(TEXT('Virgin 088_089'!N12, "0.00000"), " - ", TEXT('Virgin 088_089'!O12, "+0.00000"), " inch")</f>
        <v>-0.00005 - +0.00015 inch</v>
      </c>
    </row>
    <row r="42" spans="1:3" s="9" customFormat="1" ht="15" customHeight="1">
      <c r="A42" s="6"/>
      <c r="B42" s="7"/>
      <c r="C42" s="8"/>
    </row>
    <row r="43" spans="1:3" ht="15" customHeight="1">
      <c r="A43" s="17" t="s">
        <v>61</v>
      </c>
      <c r="B43" s="18" t="s">
        <v>24</v>
      </c>
      <c r="C43" s="19" t="s">
        <v>25</v>
      </c>
    </row>
    <row r="44" spans="1:3" s="9" customFormat="1" ht="15" customHeight="1">
      <c r="A44" s="29" t="s">
        <v>62</v>
      </c>
      <c r="B44" s="7" t="str">
        <f>CONCATENATE(TEXT('Virgin 088_089'!M7*25.4, "0.0000"), " mm")</f>
        <v>52.0179 mm</v>
      </c>
      <c r="C44" s="8" t="str">
        <f>CONCATENATE(TEXT('Virgin 088_089'!M7, "0.00000"), " inch")</f>
        <v>2.04795 inch</v>
      </c>
    </row>
    <row r="45" spans="1:3" s="13" customFormat="1" ht="15" customHeight="1">
      <c r="A45" s="10" t="s">
        <v>65</v>
      </c>
      <c r="B45" s="11" t="str">
        <f>CONCATENATE(TEXT('Virgin 088_089'!K7*25.4, "0.0000"), " - ", TEXT('Virgin 088_089'!L7*25.4, "0.0000"), " mm")</f>
        <v>52.0154 - 52.0192 mm</v>
      </c>
      <c r="C45" s="12" t="str">
        <f>CONCATENATE(TEXT('Virgin 088_089'!K7, "0.00000"), " - ", TEXT('Virgin 088_089'!L7, "0.00000"), " inch")</f>
        <v>2.04785 - 2.04800 inch</v>
      </c>
    </row>
    <row r="46" spans="1:3" s="9" customFormat="1" ht="15" customHeight="1">
      <c r="A46" s="6" t="s">
        <v>68</v>
      </c>
      <c r="B46" s="7" t="str">
        <f>CONCATENATE(TEXT('Virgin 088_089'!M17*25.4, "0.0000"), " mm")</f>
        <v>0.0343 mm</v>
      </c>
      <c r="C46" s="8" t="str">
        <f>CONCATENATE(TEXT('Virgin 088_089'!M17, "0.00000"), " inch")</f>
        <v>0.00135 inch</v>
      </c>
    </row>
    <row r="47" spans="1:3" s="13" customFormat="1" ht="15" customHeight="1">
      <c r="A47" s="10" t="s">
        <v>71</v>
      </c>
      <c r="B47" s="11" t="str">
        <f>CONCATENATE(TEXT('Virgin 088_089'!K17*25.4, "0.0000"), " - ", TEXT('Virgin 088_089'!L17*25.4, "0.0000"), " mm")</f>
        <v>0.0152 - 0.0533 mm</v>
      </c>
      <c r="C47" s="12" t="str">
        <f>CONCATENATE(TEXT('Virgin 088_089'!K17, "0.00000"), " - ", TEXT('Virgin 088_089'!L17, "0.00000"), " inch")</f>
        <v>0.00060 - 0.00210 inch</v>
      </c>
    </row>
    <row r="48" spans="1:3" s="9" customFormat="1" ht="15" customHeight="1">
      <c r="A48" s="29" t="s">
        <v>74</v>
      </c>
      <c r="B48" s="30" t="str">
        <f>CONCATENATE(TEXT('Virgin 088_089'!N17*25.4, "0.0000"), " - ", TEXT('Virgin 088_089'!O17*25.4, "+0.0000"), " mm")</f>
        <v>-0.0191 - +0.0191 mm</v>
      </c>
      <c r="C48" s="30" t="str">
        <f>CONCATENATE(TEXT('Virgin 088_089'!N17, "0.00000"), " - ", TEXT('Virgin 088_089'!O17, "+0.00000"), " inch")</f>
        <v>-0.00075 - +0.00075 inch</v>
      </c>
    </row>
    <row r="49" spans="1:3" s="13" customFormat="1" ht="15" customHeight="1">
      <c r="A49" s="10" t="s">
        <v>77</v>
      </c>
      <c r="B49" s="11"/>
      <c r="C49" s="12" t="str">
        <f>CONCATENATE(TEXT('Virgin 088_089'!M17 /'Rod Journals'!O2, "0.00000"), " inch/inch")</f>
        <v>0.00066 inch/inch</v>
      </c>
    </row>
    <row r="50" spans="1:3" s="9" customFormat="1" ht="15" customHeight="1">
      <c r="A50" s="6" t="s">
        <v>79</v>
      </c>
      <c r="B50" s="7"/>
      <c r="C50" s="8" t="str">
        <f>CONCATENATE(TEXT('Virgin 088_089'!K17 / 'Rod Journals'!N2, "0.00000"), " - ", TEXT('Virgin 088_089'!L17 /'Rod Journals'!M2, "0.00000"), " inch/inch")</f>
        <v>0.00029 - 0.00103 inch/inch</v>
      </c>
    </row>
    <row r="51" spans="1:3" s="13" customFormat="1" ht="15" customHeight="1">
      <c r="A51" s="31" t="s">
        <v>81</v>
      </c>
      <c r="B51" s="32" t="str">
        <f>CONCATENATE(TEXT('Virgin 088_089'!AA11*25.4, "0.0000"), " mm")</f>
        <v>0.0216 mm</v>
      </c>
      <c r="C51" s="32" t="str">
        <f>CONCATENATE(TEXT('Virgin 088_089'!AA11, "0.00000"), " inch")</f>
        <v>0.00085 inch</v>
      </c>
    </row>
    <row r="52" spans="1:3" ht="15" customHeight="1">
      <c r="A52" s="29" t="s">
        <v>84</v>
      </c>
      <c r="B52" s="30" t="str">
        <f>CONCATENATE(TEXT('Virgin 088_089'!Y11*25.4, "0.0000"), " - ", TEXT('Virgin 088_089'!Z11*25.4, "0.0000"), " mm")</f>
        <v>0.0178 - 0.0229 mm</v>
      </c>
      <c r="C52" s="30" t="str">
        <f>CONCATENATE(TEXT('Virgin 088_089'!Y11, "0.00000"), " - ", TEXT('Virgin 088_089'!Z11, "0.00000"), " inch")</f>
        <v>0.00070 - 0.00090 inch</v>
      </c>
    </row>
    <row r="53" spans="1:3" s="13" customFormat="1" ht="15" customHeight="1">
      <c r="A53" s="31" t="s">
        <v>87</v>
      </c>
      <c r="B53" s="32" t="str">
        <f>CONCATENATE(TEXT('Virgin 088_089'!AB11*25.4, "0.0000"), " - ", TEXT('Virgin 088_089'!AC11*25.4, "+0.0000"), " mm")</f>
        <v>-0.0038 - +0.0013 mm</v>
      </c>
      <c r="C53" s="32" t="str">
        <f>CONCATENATE(TEXT('Virgin 088_089'!AB11, "0.00000"), " - ", TEXT('Virgin 088_089'!AC11, "+0.00000"), " inch")</f>
        <v>-0.00015 - +0.00005 inch</v>
      </c>
    </row>
    <row r="54" spans="1:3" s="9" customFormat="1" ht="15" customHeight="1">
      <c r="A54" s="6"/>
      <c r="B54" s="7"/>
      <c r="C54" s="8"/>
    </row>
    <row r="55" spans="1:3" ht="15" customHeight="1">
      <c r="A55" s="17" t="s">
        <v>90</v>
      </c>
      <c r="B55" s="18" t="s">
        <v>24</v>
      </c>
      <c r="C55" s="19" t="s">
        <v>25</v>
      </c>
    </row>
    <row r="56" spans="1:3" s="33" customFormat="1" ht="12.75" customHeight="1">
      <c r="A56" s="6" t="s">
        <v>43</v>
      </c>
      <c r="B56" s="7" t="str">
        <f>CONCATENATE(TEXT('Virgin 702_703'!M11*25.4, "0.0000"), " mm")</f>
        <v>1.9977 mm</v>
      </c>
      <c r="C56" s="8" t="str">
        <f>CONCATENATE(TEXT('Virgin 702_703'!M11, "0.00000"), " inch")</f>
        <v>0.07865 inch</v>
      </c>
    </row>
    <row r="57" spans="1:3" s="34" customFormat="1" ht="12.75" customHeight="1">
      <c r="A57" s="21" t="s">
        <v>46</v>
      </c>
      <c r="B57" s="22" t="str">
        <f>CONCATENATE(TEXT('Virgin 702_703'!M12*25.4, "0.0000"), " mm")</f>
        <v>1.9939 mm</v>
      </c>
      <c r="C57" s="23" t="str">
        <f>CONCATENATE(TEXT('Virgin 702_703'!M12, "0.00000"), " inch")</f>
        <v>0.07850 inch</v>
      </c>
    </row>
    <row r="58" spans="1:3" s="33" customFormat="1" ht="12.75" customHeight="1">
      <c r="A58" s="6" t="s">
        <v>49</v>
      </c>
      <c r="B58" s="7" t="str">
        <f>CONCATENATE(TEXT('Virgin 702_703'!K11*25.4, "0.0000"), " - ", TEXT('Virgin 702_703'!L11*25.4, "0.0000"), " mm")</f>
        <v>1.9977 - 1.9990 mm</v>
      </c>
      <c r="C58" s="8" t="str">
        <f>CONCATENATE(TEXT('Virgin 702_703'!K11, "0.00000"), " - ", TEXT('Virgin 702_703'!L11, "0.00000"), " inch")</f>
        <v>0.07865 - 0.07870 inch</v>
      </c>
    </row>
    <row r="59" spans="1:3" s="34" customFormat="1" ht="12.75" customHeight="1">
      <c r="A59" s="21" t="s">
        <v>52</v>
      </c>
      <c r="B59" s="22" t="str">
        <f>CONCATENATE(TEXT('Virgin 702_703'!K12*25.4, "0.0000"), " - ", TEXT('Virgin 702_703'!L12*25.4, "0.0000"), " mm")</f>
        <v>1.9939 - 1.9952 mm</v>
      </c>
      <c r="C59" s="23" t="str">
        <f>CONCATENATE(TEXT('Virgin 702_703'!K12, "0.00000"), " - ", TEXT('Virgin 702_703'!L12, "0.00000"), " inch")</f>
        <v>0.07850 - 0.07855 inch</v>
      </c>
    </row>
    <row r="60" spans="1:3" s="35" customFormat="1" ht="12.75" customHeight="1">
      <c r="A60" s="25" t="s">
        <v>55</v>
      </c>
      <c r="B60" s="26" t="str">
        <f>CONCATENATE(TEXT('Virgin 702_703'!N11*25.4, "0.0000"), " - ", TEXT('Virgin 702_703'!O11*25.4, "0.0000"), " mm")</f>
        <v>0.0000 - 0.0013 mm</v>
      </c>
      <c r="C60" s="26" t="str">
        <f>CONCATENATE(TEXT('Virgin 702_703'!N11, "0.00000"), " - ", TEXT('Virgin 702_703'!O11, "+0.00000"), " inch")</f>
        <v>0.00000 - +0.00005 inch</v>
      </c>
    </row>
    <row r="61" spans="1:3" s="34" customFormat="1" ht="12.75" customHeight="1">
      <c r="A61" s="27" t="s">
        <v>58</v>
      </c>
      <c r="B61" s="28" t="str">
        <f>CONCATENATE(TEXT('Virgin 702_703'!N12*25.4, "0.0000"), " - ", TEXT('Virgin 702_703'!O12*25.4, "0.0000"), " mm")</f>
        <v>0.0000 - 0.0013 mm</v>
      </c>
      <c r="C61" s="28" t="str">
        <f>CONCATENATE(TEXT('Virgin 702_703'!N12, "0.00000"), " - ", TEXT('Virgin 702_703'!O12, "+0.00000"), " inch")</f>
        <v>0.00000 - +0.00005 inch</v>
      </c>
    </row>
    <row r="62" spans="1:3" s="9" customFormat="1" ht="15" customHeight="1">
      <c r="A62" s="6"/>
      <c r="B62" s="7"/>
      <c r="C62" s="8"/>
    </row>
    <row r="63" spans="1:3" ht="15" customHeight="1">
      <c r="A63" s="17" t="s">
        <v>99</v>
      </c>
      <c r="B63" s="18" t="s">
        <v>24</v>
      </c>
      <c r="C63" s="19" t="s">
        <v>25</v>
      </c>
    </row>
    <row r="64" spans="1:3" s="9" customFormat="1" ht="15" customHeight="1">
      <c r="A64" s="29" t="s">
        <v>62</v>
      </c>
      <c r="B64" s="7" t="str">
        <f>CONCATENATE(TEXT('Virgin 702_703'!M7*25.4, "0.0000"), " mm")</f>
        <v>52.0192 mm</v>
      </c>
      <c r="C64" s="8" t="str">
        <f>CONCATENATE(TEXT('Virgin 702_703'!M7, "0.00000"), " inch")</f>
        <v>2.04800 inch</v>
      </c>
    </row>
    <row r="65" spans="1:3" s="13" customFormat="1" ht="15" customHeight="1">
      <c r="A65" s="10" t="s">
        <v>102</v>
      </c>
      <c r="B65" s="11" t="str">
        <f>CONCATENATE(TEXT('Virgin 702_703'!K7*25.4, "0.0000"), " - ", TEXT('Virgin 702_703'!L7*25.4, "0.0000"), " mm")</f>
        <v>52.0179 - 52.0294 mm</v>
      </c>
      <c r="C65" s="12" t="str">
        <f>CONCATENATE(TEXT('Virgin 702_703'!K7, "0.00000"), " - ", TEXT('Virgin 702_703'!L7, "0.00000"), " inch")</f>
        <v>2.04795 - 2.04840 inch</v>
      </c>
    </row>
    <row r="66" spans="1:3" s="9" customFormat="1" ht="15" customHeight="1">
      <c r="A66" s="6" t="s">
        <v>68</v>
      </c>
      <c r="B66" s="7" t="str">
        <f>CONCATENATE(TEXT('Virgin 702_703'!M16*25.4, "0.0000"), " mm")</f>
        <v>0.0381 mm</v>
      </c>
      <c r="C66" s="8" t="str">
        <f>CONCATENATE(TEXT('Virgin 702_703'!M16, "0.00000"), " inch")</f>
        <v>0.00150 inch</v>
      </c>
    </row>
    <row r="67" spans="1:3" s="13" customFormat="1" ht="15" customHeight="1">
      <c r="A67" s="10" t="s">
        <v>31</v>
      </c>
      <c r="B67" s="11" t="str">
        <f>CONCATENATE(TEXT('Virgin 702_703'!K16*25.4, "0.0000"), " - ", TEXT('Virgin 702_703'!L16*25.4, "0.0000"), " mm")</f>
        <v>0.0292 - 0.0508 mm</v>
      </c>
      <c r="C67" s="12" t="str">
        <f>CONCATENATE(TEXT('Virgin 702_703'!K16, "0.00000"), " - ", TEXT('Virgin 702_703'!L16, "0.00000"), " inch")</f>
        <v>0.00115 - 0.00200 inch</v>
      </c>
    </row>
    <row r="68" spans="1:3" s="9" customFormat="1" ht="15" customHeight="1">
      <c r="A68" s="29" t="s">
        <v>74</v>
      </c>
      <c r="B68" s="30" t="str">
        <f>CONCATENATE(TEXT('Virgin 702_703'!N16*25.4, "0.0000"), " - ", TEXT('Virgin 702_703'!O16*25.4, "+0.0000"), " mm")</f>
        <v>-0.0089 - +0.0127 mm</v>
      </c>
      <c r="C68" s="30" t="str">
        <f>CONCATENATE(TEXT('Virgin 702_703'!N16, "0.00000"), " - ", TEXT('Virgin 702_703'!O16, "+0.00000"), " inch")</f>
        <v>-0.00035 - +0.00050 inch</v>
      </c>
    </row>
    <row r="69" spans="1:3" s="13" customFormat="1" ht="15" customHeight="1">
      <c r="A69" s="10" t="s">
        <v>77</v>
      </c>
      <c r="B69" s="11"/>
      <c r="C69" s="12" t="str">
        <f>CONCATENATE(TEXT('Virgin 702_703'!M16 / 'Virgin 702_703'!M7, "0.00000"), " inch/inch")</f>
        <v>0.00073 inch/inch</v>
      </c>
    </row>
    <row r="70" spans="1:3" s="9" customFormat="1" ht="15" customHeight="1">
      <c r="A70" s="6" t="s">
        <v>112</v>
      </c>
      <c r="B70" s="7"/>
      <c r="C70" s="8" t="str">
        <f>CONCATENATE(TEXT('Virgin 702_703'!K16 / 'Virgin 702_703'!K7, "0.00000"), " - ", TEXT('Virgin 702_703'!L16 / 'Virgin 702_703'!K7, "0.00000"), " inch/inch")</f>
        <v>0.00056 - 0.00098 inch/inch</v>
      </c>
    </row>
    <row r="71" spans="1:3" s="13" customFormat="1" ht="15" customHeight="1">
      <c r="A71" s="31" t="s">
        <v>81</v>
      </c>
      <c r="B71" s="32" t="str">
        <f>CONCATENATE(TEXT('Virgin 702_703'!AA11*25.4, "0.0000"), " mm")</f>
        <v>0.0508 mm</v>
      </c>
      <c r="C71" s="32" t="str">
        <f>CONCATENATE(TEXT('Virgin 702_703'!AA11, "0.00000"), " inch")</f>
        <v>0.00200 inch</v>
      </c>
    </row>
    <row r="72" spans="1:3" ht="15" customHeight="1">
      <c r="A72" s="29" t="s">
        <v>84</v>
      </c>
      <c r="B72" s="30" t="str">
        <f>CONCATENATE(TEXT('Virgin 702_703'!Y11*25.4, "0.0000"), " - ", TEXT('Virgin 702_703'!Z11*25.4, "0.0000"), " mm")</f>
        <v>0.0444 - 0.0584 mm</v>
      </c>
      <c r="C72" s="30" t="str">
        <f>CONCATENATE(TEXT('Virgin 702_703'!Y11, "0.00000"), " - ", TEXT('Virgin 702_703'!Z11, "0.00000"), " inch")</f>
        <v>0.00175 - 0.00230 inch</v>
      </c>
    </row>
    <row r="73" spans="1:3" s="13" customFormat="1" ht="15" customHeight="1">
      <c r="A73" s="31" t="s">
        <v>87</v>
      </c>
      <c r="B73" s="32" t="str">
        <f>CONCATENATE(TEXT('Virgin 702_703'!AB11*25.4, "0.0000"), " - ", TEXT('Virgin 702_703'!AC11*25.4, "+0.0000"), " mm")</f>
        <v>-0.0063 - +0.0076 mm</v>
      </c>
      <c r="C73" s="32" t="str">
        <f>CONCATENATE(TEXT('Virgin 702_703'!AB11, "0.00000"), " - ", TEXT('Virgin 702_703'!AC11, "+0.00000"), " inch")</f>
        <v>-0.00025 - +0.00030 inch</v>
      </c>
    </row>
    <row r="74" spans="1:3" s="9" customFormat="1" ht="15" customHeight="1">
      <c r="A74" s="6"/>
      <c r="B74" s="7"/>
      <c r="C74" s="8"/>
    </row>
    <row r="75" spans="1:3" ht="15" customHeight="1">
      <c r="A75" s="36" t="s">
        <v>120</v>
      </c>
      <c r="B75" s="37"/>
      <c r="C75" s="38"/>
    </row>
    <row r="76" spans="1:3" s="9" customFormat="1" ht="15" customHeight="1">
      <c r="A76" s="17" t="s">
        <v>419</v>
      </c>
      <c r="B76" s="18" t="s">
        <v>24</v>
      </c>
      <c r="C76" s="19" t="s">
        <v>25</v>
      </c>
    </row>
    <row r="77" spans="1:3" s="35" customFormat="1" ht="12.75" customHeight="1">
      <c r="A77" s="6" t="s">
        <v>43</v>
      </c>
      <c r="B77" s="7" t="str">
        <f>CONCATENATE(TEXT('Virgin Calico'!M11*25.4, "0.0000"), " mm")</f>
        <v>2.0015 mm</v>
      </c>
      <c r="C77" s="8" t="str">
        <f>CONCATENATE(TEXT('Virgin Calico'!M11, "0.00000"), " inch")</f>
        <v>0.07880 inch</v>
      </c>
    </row>
    <row r="78" spans="1:3" s="34" customFormat="1" ht="12.75" customHeight="1">
      <c r="A78" s="21" t="s">
        <v>46</v>
      </c>
      <c r="B78" s="22" t="str">
        <f>CONCATENATE(TEXT('Virgin Calico'!M12*25.4, "0.0000"), " mm")</f>
        <v>1.9964 mm</v>
      </c>
      <c r="C78" s="23" t="str">
        <f>CONCATENATE(TEXT('Virgin Calico'!M12, "0.00000"), " inch")</f>
        <v>0.07860 inch</v>
      </c>
    </row>
    <row r="79" spans="1:3" s="35" customFormat="1" ht="12.75" customHeight="1">
      <c r="A79" s="6" t="s">
        <v>49</v>
      </c>
      <c r="B79" s="7" t="str">
        <f>CONCATENATE(TEXT('Virgin Calico'!K11*25.4, "0.0000"), " - ", TEXT('Virgin Calico'!L11*25.4, "0.0000"), " mm")</f>
        <v>1.9990 - 2.0028 mm</v>
      </c>
      <c r="C79" s="8" t="str">
        <f>CONCATENATE(TEXT('Virgin Calico'!K11, "0.00000"), " - ", TEXT('Virgin Calico'!L11, "0.00000"), " inch")</f>
        <v>0.07870 - 0.07885 inch</v>
      </c>
    </row>
    <row r="80" spans="1:3" s="34" customFormat="1" ht="12.75" customHeight="1">
      <c r="A80" s="21" t="s">
        <v>52</v>
      </c>
      <c r="B80" s="22" t="str">
        <f>CONCATENATE(TEXT('Virgin Calico'!K11*25.4, "0.0000"), " - ", TEXT('Virgin Calico'!L11*25.4, "0.0000"), " mm")</f>
        <v>1.9990 - 2.0028 mm</v>
      </c>
      <c r="C80" s="23" t="str">
        <f>CONCATENATE(TEXT('Virgin Calico'!K12, "0.00000"), " - ", TEXT('Virgin Calico'!L12, "0.00000"), " inch")</f>
        <v>0.07850 - 0.07860 inch</v>
      </c>
    </row>
    <row r="81" spans="1:3" s="35" customFormat="1" ht="12.75" customHeight="1">
      <c r="A81" s="29" t="s">
        <v>55</v>
      </c>
      <c r="B81" s="30" t="str">
        <f>CONCATENATE(TEXT('Virgin Calico'!N11*25.4, "0.0000"), " - ", TEXT('Virgin Calico'!O11*25.4, "0.0000"), " mm")</f>
        <v>-0.0025 - 0.0013 mm</v>
      </c>
      <c r="C81" s="30" t="str">
        <f>CONCATENATE(TEXT('Virgin Calico'!N11, "0.00000"), " - ", TEXT('Virgin Calico'!O11, "+0.00000"), " inch")</f>
        <v>-0.00010 - +0.00005 inch</v>
      </c>
    </row>
    <row r="82" spans="1:3" s="34" customFormat="1" ht="12.75" customHeight="1">
      <c r="A82" s="27" t="s">
        <v>58</v>
      </c>
      <c r="B82" s="28" t="str">
        <f>CONCATENATE(TEXT('Virgin Calico'!N12*25.4, "0.0000"), " - ", TEXT('Virgin Calico'!O12*25.4, "0.0000"), " mm")</f>
        <v>-0.0025 - 0.0000 mm</v>
      </c>
      <c r="C82" s="28" t="str">
        <f>CONCATENATE(TEXT('Virgin Calico'!N12, "0.00000"), " - ", TEXT('Virgin Calico'!O12, "+0.00000"), " inch")</f>
        <v>-0.00010 - +0.00000 inch</v>
      </c>
    </row>
    <row r="83" spans="1:3" s="9" customFormat="1" ht="15" customHeight="1">
      <c r="A83" s="6"/>
      <c r="B83" s="7"/>
      <c r="C83" s="8"/>
    </row>
    <row r="84" spans="1:3" ht="15" customHeight="1">
      <c r="A84" s="17" t="s">
        <v>121</v>
      </c>
      <c r="B84" s="18" t="s">
        <v>24</v>
      </c>
      <c r="C84" s="19" t="s">
        <v>25</v>
      </c>
    </row>
    <row r="85" spans="1:3" s="9" customFormat="1" ht="15" customHeight="1">
      <c r="A85" s="29" t="s">
        <v>62</v>
      </c>
      <c r="B85" s="7" t="str">
        <f>CONCATENATE(TEXT('Virgin Calico'!M7*25.4, "0.0000"), " mm")</f>
        <v>52.0141 mm</v>
      </c>
      <c r="C85" s="8" t="str">
        <f>CONCATENATE(TEXT('Virgin Calico'!M7, "0.00000"), " inch")</f>
        <v>2.04780 inch</v>
      </c>
    </row>
    <row r="86" spans="1:3" s="13" customFormat="1" ht="15" customHeight="1">
      <c r="A86" s="10" t="s">
        <v>102</v>
      </c>
      <c r="B86" s="11" t="str">
        <f>CONCATENATE(TEXT('Virgin Calico'!K7*25.4, "0.0000"), " - ", TEXT('Virgin Calico'!L7*25.4, "0.0000"), " mm")</f>
        <v>52.0090 - 52.0141 mm</v>
      </c>
      <c r="C86" s="12" t="str">
        <f>CONCATENATE(TEXT('Virgin Calico'!K7, "0.00000"), " - ", TEXT('Virgin Calico'!L7, "0.00000"), " inch")</f>
        <v>2.04760 - 2.04780 inch</v>
      </c>
    </row>
    <row r="87" spans="1:3" s="9" customFormat="1" ht="15" customHeight="1">
      <c r="A87" s="6" t="s">
        <v>68</v>
      </c>
      <c r="B87" s="7" t="str">
        <f>CONCATENATE(TEXT('Virgin Calico'!M16*25.4, "0.0000"), " mm")</f>
        <v>0.0330 mm</v>
      </c>
      <c r="C87" s="8" t="str">
        <f>CONCATENATE(TEXT('Virgin Calico'!M16, "0.00000"), " inch")</f>
        <v>0.00130 inch</v>
      </c>
    </row>
    <row r="88" spans="1:3" s="13" customFormat="1" ht="15" customHeight="1">
      <c r="A88" s="10" t="s">
        <v>31</v>
      </c>
      <c r="B88" s="11" t="str">
        <f>CONCATENATE(TEXT('Virgin Calico'!K16*25.4, "0.0000"), " - ", TEXT('Virgin Calico'!L16*25.4, "0.0000"), " mm")</f>
        <v>0.0203 - 0.0356 mm</v>
      </c>
      <c r="C88" s="12" t="str">
        <f>CONCATENATE(TEXT('Virgin Calico'!K16, "0.00000"), " - ", TEXT('Virgin Calico'!L16, "0.00000"), " inch")</f>
        <v>0.00080 - 0.00140 inch</v>
      </c>
    </row>
    <row r="89" spans="1:3" s="9" customFormat="1" ht="15" customHeight="1">
      <c r="A89" s="29" t="s">
        <v>74</v>
      </c>
      <c r="B89" s="7" t="str">
        <f>CONCATENATE(TEXT('Virgin Calico'!N13*25.4, "0.0000"), " - ", TEXT('Virgin Calico'!O13*25.4, "+0.0000"), " mm")</f>
        <v>-0.0127 - +0.0025 mm</v>
      </c>
      <c r="C89" s="8" t="str">
        <f>CONCATENATE(TEXT('Virgin Calico'!N13, "0.00000"), " - ", TEXT('Virgin Calico'!O13, "+0.00000"), " inch")</f>
        <v>-0.00050 - +0.00010 inch</v>
      </c>
    </row>
    <row r="90" spans="1:3" s="13" customFormat="1" ht="15" customHeight="1">
      <c r="A90" s="10" t="s">
        <v>77</v>
      </c>
      <c r="B90" s="11"/>
      <c r="C90" s="12" t="str">
        <f>CONCATENATE(TEXT('Virgin Calico'!M13 / 'Virgin Calico'!M7, "0.00000"), " inch/inch")</f>
        <v>0.00063 inch/inch</v>
      </c>
    </row>
    <row r="91" spans="1:3" s="9" customFormat="1" ht="15" customHeight="1">
      <c r="A91" s="6" t="s">
        <v>112</v>
      </c>
      <c r="B91" s="7"/>
      <c r="C91" s="8" t="str">
        <f>CONCATENATE(TEXT('Virgin Calico'!K13 / 'Virgin Calico'!K7, "0.00000"), " - ", TEXT('Virgin Calico'!L13 / 'Virgin Calico'!K7, "0.00000"), " inch/inch")</f>
        <v>0.00054 - 0.00063 inch/inch</v>
      </c>
    </row>
    <row r="92" spans="1:3" ht="15" customHeight="1">
      <c r="A92" s="14"/>
      <c r="B92" s="15"/>
      <c r="C92" s="16"/>
    </row>
    <row r="93" spans="1:3" s="9" customFormat="1" ht="15" customHeight="1">
      <c r="A93" s="17" t="s">
        <v>420</v>
      </c>
      <c r="B93" s="18" t="s">
        <v>24</v>
      </c>
      <c r="C93" s="19" t="s">
        <v>25</v>
      </c>
    </row>
    <row r="94" spans="1:3" s="35" customFormat="1" ht="12.75" customHeight="1">
      <c r="A94" s="6" t="s">
        <v>43</v>
      </c>
      <c r="B94" s="7" t="str">
        <f>CONCATENATE(TEXT('Virgin WPC'!M11*25.4, "0.0000"), " mm")</f>
        <v>1.9939 mm</v>
      </c>
      <c r="C94" s="8" t="str">
        <f>CONCATENATE(TEXT('Virgin WPC'!M11, "0.00000"), " inch")</f>
        <v>0.07850 inch</v>
      </c>
    </row>
    <row r="95" spans="1:3" s="34" customFormat="1" ht="12.75" customHeight="1">
      <c r="A95" s="21" t="s">
        <v>46</v>
      </c>
      <c r="B95" s="22" t="str">
        <f>CONCATENATE(TEXT('Virgin WPC'!M12*25.4, "0.0000"), " mm")</f>
        <v>1.9901 mm</v>
      </c>
      <c r="C95" s="23" t="str">
        <f>CONCATENATE(TEXT('Virgin WPC'!M12, "0.00000"), " inch")</f>
        <v>0.07835 inch</v>
      </c>
    </row>
    <row r="96" spans="1:3" s="35" customFormat="1" ht="12.75" customHeight="1">
      <c r="A96" s="6" t="s">
        <v>49</v>
      </c>
      <c r="B96" s="7" t="str">
        <f>CONCATENATE(TEXT('Virgin WPC'!K11*25.4, "0.0000"), " - ", TEXT('Virgin WPC'!L11*25.4, "0.0000"), " mm")</f>
        <v>1.9939 - 1.9952 mm</v>
      </c>
      <c r="C96" s="8" t="str">
        <f>CONCATENATE(TEXT('Virgin WPC'!K11, "0.00000"), " - ", TEXT('Virgin WPC'!L11, "0.00000"), " inch")</f>
        <v>0.07850 - 0.07855 inch</v>
      </c>
    </row>
    <row r="97" spans="1:3" s="34" customFormat="1" ht="12.75" customHeight="1">
      <c r="A97" s="21" t="s">
        <v>52</v>
      </c>
      <c r="B97" s="22" t="str">
        <f>CONCATENATE(TEXT('Virgin WPC'!K12*25.4, "0.0000"), " - ", TEXT('Virgin WPC'!L12*25.4, "0.0000"), " mm")</f>
        <v>1.9901 - 1.9914 mm</v>
      </c>
      <c r="C97" s="23" t="str">
        <f>CONCATENATE(TEXT('Virgin WPC'!K12, "0.00000"), " - ", TEXT('Virgin WPC'!L12, "0.00000"), " inch")</f>
        <v>0.07835 - 0.07840 inch</v>
      </c>
    </row>
    <row r="98" spans="1:3" s="35" customFormat="1" ht="12.75" customHeight="1">
      <c r="A98" s="29" t="s">
        <v>55</v>
      </c>
      <c r="B98" s="30" t="str">
        <f>CONCATENATE(TEXT('Virgin WPC'!N11*25.4, "0.0000"), " - ", TEXT('Virgin WPC'!O11*25.4, "0.0000"), " mm")</f>
        <v>0.0000 - 0.0013 mm</v>
      </c>
      <c r="C98" s="30" t="str">
        <f>CONCATENATE(TEXT('Virgin WPC'!N11, "0.00000"), " - ", TEXT('Virgin WPC'!O11, "+0.00000"), " inch")</f>
        <v>0.00000 - +0.00005 inch</v>
      </c>
    </row>
    <row r="99" spans="1:3" s="34" customFormat="1" ht="12.75" customHeight="1">
      <c r="A99" s="27" t="s">
        <v>58</v>
      </c>
      <c r="B99" s="28" t="str">
        <f>CONCATENATE(TEXT('Virgin WPC'!N12*25.4, "0.0000"), " - ", TEXT('Virgin WPC'!O12*25.4, "0.0000"), " mm")</f>
        <v>0.0000 - 0.0013 mm</v>
      </c>
      <c r="C99" s="28" t="str">
        <f>CONCATENATE(TEXT('Virgin WPC'!N12, "0.00000"), " - ", TEXT('Virgin WPC'!O12, "+0.00000"), " inch")</f>
        <v>0.00000 - +0.00005 inch</v>
      </c>
    </row>
    <row r="100" spans="1:3" s="9" customFormat="1" ht="15" customHeight="1">
      <c r="A100" s="6"/>
      <c r="B100" s="7"/>
      <c r="C100" s="8"/>
    </row>
    <row r="101" spans="1:3" ht="15" customHeight="1">
      <c r="A101" s="17" t="s">
        <v>122</v>
      </c>
      <c r="B101" s="18" t="s">
        <v>24</v>
      </c>
      <c r="C101" s="19" t="s">
        <v>25</v>
      </c>
    </row>
    <row r="102" spans="1:3" s="9" customFormat="1" ht="15" customHeight="1">
      <c r="A102" s="29" t="s">
        <v>62</v>
      </c>
      <c r="B102" s="7" t="str">
        <f>CONCATENATE(TEXT('Virgin WPC'!M7*25.4, "0.0000"), " mm")</f>
        <v>52.0281 mm</v>
      </c>
      <c r="C102" s="8" t="str">
        <f>CONCATENATE(TEXT('Virgin WPC'!M7, "0.00000"), " inch")</f>
        <v>2.04835 inch</v>
      </c>
    </row>
    <row r="103" spans="1:3" s="13" customFormat="1" ht="15" customHeight="1">
      <c r="A103" s="10" t="s">
        <v>102</v>
      </c>
      <c r="B103" s="11" t="str">
        <f>CONCATENATE(TEXT('Virgin WPC'!K7*25.4, "0.0000"), " - ", TEXT('Virgin WPC'!L7*25.4, "0.0000"), " mm")</f>
        <v>52.0268 - 52.0332 mm</v>
      </c>
      <c r="C103" s="12" t="str">
        <f>CONCATENATE(TEXT('Virgin WPC'!K7, "0.00000"), " - ", TEXT('Virgin WPC'!L7, "0.00000"), " inch")</f>
        <v>2.04830 - 2.04855 inch</v>
      </c>
    </row>
    <row r="104" spans="1:3" s="9" customFormat="1" ht="15" customHeight="1">
      <c r="A104" s="6" t="s">
        <v>68</v>
      </c>
      <c r="B104" s="7" t="str">
        <f>CONCATENATE(TEXT('Virgin WPC'!M16*25.4, "0.0000"), " mm")</f>
        <v>0.0470 mm</v>
      </c>
      <c r="C104" s="8" t="str">
        <f>CONCATENATE(TEXT('Virgin WPC'!M16, "0.00000"), " inch")</f>
        <v>0.00185 inch</v>
      </c>
    </row>
    <row r="105" spans="1:3" s="13" customFormat="1" ht="15" customHeight="1">
      <c r="A105" s="10" t="s">
        <v>31</v>
      </c>
      <c r="B105" s="11" t="str">
        <f>CONCATENATE(TEXT('Virgin WPC'!K16*25.4, "0.0000"), " - ", TEXT('Virgin WPC'!L16*25.4, "0.0000"), " mm")</f>
        <v>0.0381 - 0.0546 mm</v>
      </c>
      <c r="C105" s="12" t="str">
        <f>CONCATENATE(TEXT('Virgin WPC'!K16, "0.00000"), " - ", TEXT('Virgin WPC'!L16, "0.00000"), " inch")</f>
        <v>0.00150 - 0.00215 inch</v>
      </c>
    </row>
    <row r="106" spans="1:3" s="9" customFormat="1" ht="15" customHeight="1">
      <c r="A106" s="29" t="s">
        <v>74</v>
      </c>
      <c r="B106" s="7" t="str">
        <f>CONCATENATE(TEXT('Virgin WPC'!N13*25.4, "0.0000"), " - ", TEXT('Virgin WPC'!O13*25.4, "+0.0000"), " mm")</f>
        <v>-0.0089 - +0.0076 mm</v>
      </c>
      <c r="C106" s="8" t="str">
        <f>CONCATENATE(TEXT('Virgin WPC'!N13, "0.00000"), " - ", TEXT('Virgin WPC'!O13, "+0.00000"), " inch")</f>
        <v>-0.00035 - +0.00030 inch</v>
      </c>
    </row>
    <row r="107" spans="1:3" s="13" customFormat="1" ht="15" customHeight="1">
      <c r="A107" s="10" t="s">
        <v>77</v>
      </c>
      <c r="B107" s="11"/>
      <c r="C107" s="12" t="str">
        <f>CONCATENATE(TEXT('Virgin WPC'!M13 / 'Virgin WPC'!M7, "0.00000"), " inch/inch")</f>
        <v>0.00090 inch/inch</v>
      </c>
    </row>
    <row r="108" spans="1:3" s="9" customFormat="1" ht="15" customHeight="1">
      <c r="A108" s="6" t="s">
        <v>112</v>
      </c>
      <c r="B108" s="7"/>
      <c r="C108" s="8" t="str">
        <f>CONCATENATE(TEXT('Virgin WPC'!K13 / 'Virgin WPC'!K7, "0.00000"), " - ", TEXT('Virgin WPC'!L13 / 'Virgin WPC'!K7, "0.00000"), " inch/inch")</f>
        <v>0.00088 - 0.00100 inch/inch</v>
      </c>
    </row>
    <row r="110" spans="1:3" s="9" customFormat="1" ht="15" customHeight="1">
      <c r="A110" s="17" t="s">
        <v>418</v>
      </c>
      <c r="B110" s="18" t="s">
        <v>24</v>
      </c>
      <c r="C110" s="19" t="s">
        <v>25</v>
      </c>
    </row>
    <row r="111" spans="1:3" s="35" customFormat="1" ht="12.75" customHeight="1">
      <c r="A111" s="6" t="s">
        <v>414</v>
      </c>
      <c r="B111" s="7" t="str">
        <f>CONCATENATE(TEXT('Virgin VAC_Clevite'!M11*25.4, "0.0000"), " mm")</f>
        <v>1.9901 mm</v>
      </c>
      <c r="C111" s="8" t="str">
        <f>CONCATENATE(TEXT('Virgin VAC_Clevite'!M11, "0.00000"), " inch")</f>
        <v>0.07835 inch</v>
      </c>
    </row>
    <row r="112" spans="1:3" s="34" customFormat="1" ht="12.75" customHeight="1">
      <c r="A112" s="21" t="s">
        <v>415</v>
      </c>
      <c r="B112" s="22" t="str">
        <f>CONCATENATE(TEXT('Virgin VAC_Clevite'!K11*25.4, "0.0000"), " - ", TEXT('Virgin VAC_Clevite'!L11*25.4, "0.0000"), " mm")</f>
        <v>1.9876 - 1.9914 mm</v>
      </c>
      <c r="C112" s="23" t="str">
        <f>CONCATENATE(TEXT('Virgin VAC_Clevite'!K11, "0.00000"), " - ", TEXT('Virgin VAC_Clevite'!L11, "0.00000"), " inch")</f>
        <v>0.07825 - 0.07840 inch</v>
      </c>
    </row>
    <row r="113" spans="1:3" s="35" customFormat="1" ht="12.75" customHeight="1">
      <c r="A113" s="29" t="s">
        <v>417</v>
      </c>
      <c r="B113" s="30" t="str">
        <f>CONCATENATE(TEXT('Virgin VAC_Clevite'!N11*25.4, "0.0000"), " - ", TEXT('Virgin VAC_Clevite'!O11*25.4, "0.0000"), " mm")</f>
        <v>-0.0025 - 0.0013 mm</v>
      </c>
      <c r="C113" s="30" t="str">
        <f>CONCATENATE(TEXT('Virgin VAC_Clevite'!N11, "0.00000"), " - ", TEXT('Virgin VAC_Clevite'!O11, "+0.00000"), " inch")</f>
        <v>-0.00010 - +0.00005 inch</v>
      </c>
    </row>
    <row r="114" spans="1:3" s="9" customFormat="1" ht="15" customHeight="1">
      <c r="A114" s="6"/>
      <c r="B114" s="7"/>
      <c r="C114" s="8"/>
    </row>
    <row r="115" spans="1:3" s="9" customFormat="1" ht="15" customHeight="1">
      <c r="A115" s="17" t="s">
        <v>347</v>
      </c>
      <c r="B115" s="18" t="s">
        <v>24</v>
      </c>
      <c r="C115" s="19" t="s">
        <v>25</v>
      </c>
    </row>
    <row r="116" spans="1:3" s="9" customFormat="1" ht="15" customHeight="1">
      <c r="A116" s="29" t="s">
        <v>62</v>
      </c>
      <c r="B116" s="7" t="str">
        <f>CONCATENATE(TEXT('Virgin VAC_Clevite'!M7*25.4, "0.0000"), " mm")</f>
        <v>52.0344 mm</v>
      </c>
      <c r="C116" s="8" t="str">
        <f>CONCATENATE(TEXT('Virgin VAC_Clevite'!M7, "0.00000"), " inch")</f>
        <v>2.04860 inch</v>
      </c>
    </row>
    <row r="117" spans="1:3" s="13" customFormat="1" ht="15" customHeight="1">
      <c r="A117" s="10" t="s">
        <v>102</v>
      </c>
      <c r="B117" s="11" t="str">
        <f>CONCATENATE(TEXT('Virgin VAC_Clevite'!K7*25.4, "0.0000"), " - ", TEXT('Virgin VAC_Clevite'!L7*25.4, "0.0000"), " mm")</f>
        <v>52.0294 - 52.0344 mm</v>
      </c>
      <c r="C117" s="12" t="str">
        <f>CONCATENATE(TEXT('Virgin VAC_Clevite'!K7, "0.00000"), " - ", TEXT('Virgin VAC_Clevite'!L7, "0.00000"), " inch")</f>
        <v>2.04840 - 2.04860 inch</v>
      </c>
    </row>
    <row r="118" spans="1:3" s="9" customFormat="1" ht="15" customHeight="1">
      <c r="A118" s="6" t="s">
        <v>68</v>
      </c>
      <c r="B118" s="7" t="str">
        <f>CONCATENATE(TEXT('Virgin VAC_Clevite'!M16*25.4, "0.0000"), " mm")</f>
        <v>0.0508 mm</v>
      </c>
      <c r="C118" s="8" t="str">
        <f>CONCATENATE(TEXT('Virgin VAC_Clevite'!M16, "0.00000"), " inch")</f>
        <v>0.00200 inch</v>
      </c>
    </row>
    <row r="119" spans="1:3" s="13" customFormat="1" ht="15" customHeight="1">
      <c r="A119" s="10" t="s">
        <v>31</v>
      </c>
      <c r="B119" s="11" t="str">
        <f>CONCATENATE(TEXT('Virgin VAC_Clevite'!K16*25.4, "0.0000"), " - ", TEXT('Virgin VAC_Clevite'!L16*25.4, "0.0000"), " mm")</f>
        <v>0.0406 - 0.0559 mm</v>
      </c>
      <c r="C119" s="12" t="str">
        <f>CONCATENATE(TEXT('Virgin VAC_Clevite'!K16, "0.00000"), " - ", TEXT('Virgin VAC_Clevite'!L16, "0.00000"), " inch")</f>
        <v>0.00160 - 0.00220 inch</v>
      </c>
    </row>
    <row r="120" spans="1:3" s="9" customFormat="1" ht="15" customHeight="1">
      <c r="A120" s="29" t="s">
        <v>74</v>
      </c>
      <c r="B120" s="30" t="str">
        <f>CONCATENATE(TEXT('Virgin VAC_Clevite'!N16*25.4, "0.0000"), " - ", TEXT('Virgin VAC_Clevite'!O16*25.4, "+0.0000"), " mm")</f>
        <v>-0.0102 - +0.0051 mm</v>
      </c>
      <c r="C120" s="30" t="str">
        <f>CONCATENATE(TEXT('Virgin VAC_Clevite'!N16, "0.00000"), " - ", TEXT('Virgin VAC_Clevite'!O16, "+0.00000"), " inch")</f>
        <v>-0.00040 - +0.00020 inch</v>
      </c>
    </row>
    <row r="121" spans="1:3" s="13" customFormat="1" ht="15" customHeight="1">
      <c r="A121" s="10" t="s">
        <v>77</v>
      </c>
      <c r="B121" s="11"/>
      <c r="C121" s="12" t="str">
        <f>CONCATENATE(TEXT('Virgin VAC_Clevite'!M13 / 'Virgin VAC_Clevite'!M7, "0.00000"), " inch/inch")</f>
        <v>0.00099 inch/inch</v>
      </c>
    </row>
    <row r="122" spans="1:3" s="9" customFormat="1" ht="15" customHeight="1">
      <c r="A122" s="6" t="s">
        <v>112</v>
      </c>
      <c r="B122" s="7"/>
      <c r="C122" s="8" t="str">
        <f>CONCATENATE(TEXT('Virgin VAC_Clevite'!K13 / 'Virgin VAC_Clevite'!K7, "0.00000"), " - ", TEXT('Virgin VAC_Clevite'!L13 / 'Virgin VAC_Clevite'!K7, "0.00000"), " inch/inch")</f>
        <v>0.00093 - 0.00103 inch/inch</v>
      </c>
    </row>
    <row r="123" spans="1:3" s="13" customFormat="1" ht="15" customHeight="1">
      <c r="A123" s="31" t="s">
        <v>81</v>
      </c>
      <c r="B123" s="32" t="str">
        <f>CONCATENATE(TEXT('Virgin VAC_Clevite'!AA11*25.4, "0.0000"), " mm")</f>
        <v>0.0203 mm</v>
      </c>
      <c r="C123" s="32" t="str">
        <f>CONCATENATE(TEXT('Virgin VAC_Clevite'!AA11, "0.00000"), " inch")</f>
        <v>0.00080 inch</v>
      </c>
    </row>
    <row r="124" spans="1:3" s="9" customFormat="1" ht="15" customHeight="1">
      <c r="A124" s="29" t="s">
        <v>84</v>
      </c>
      <c r="B124" s="30" t="str">
        <f>CONCATENATE(TEXT('Virgin VAC_Clevite'!Y11*25.4, "0.0000"), " - ", TEXT('Virgin VAC_Clevite'!Z11*25.4, "0.0000"), " mm")</f>
        <v>0.0114 - 0.0254 mm</v>
      </c>
      <c r="C124" s="30" t="str">
        <f>CONCATENATE(TEXT('Virgin VAC_Clevite'!Y11, "0.00000"), " - ", TEXT('Virgin VAC_Clevite'!Z11, "0.00000"), " inch")</f>
        <v>0.00045 - 0.00100 inch</v>
      </c>
    </row>
    <row r="125" spans="1:3" s="13" customFormat="1" ht="15" customHeight="1">
      <c r="A125" s="31" t="s">
        <v>87</v>
      </c>
      <c r="B125" s="32" t="str">
        <f>CONCATENATE(TEXT('Virgin VAC_Clevite'!AB11*25.4, "0.0000"), " - ", TEXT('Virgin VAC_Clevite'!AC11*25.4, "+0.0000"), " mm")</f>
        <v>-0.0089 - +0.0051 mm</v>
      </c>
      <c r="C125" s="32" t="str">
        <f>CONCATENATE(TEXT('Virgin VAC_Clevite'!AB11, "0.00000"), " - ", TEXT('Virgin VAC_Clevite'!AC11, "+0.00000"), " inch")</f>
        <v>-0.00035 - +0.00020 inch</v>
      </c>
    </row>
    <row r="126" spans="1:3" s="9" customFormat="1" ht="15" customHeight="1">
      <c r="A126" s="6"/>
      <c r="B126" s="7"/>
      <c r="C126" s="8"/>
    </row>
    <row r="127" spans="1:3" s="9" customFormat="1" ht="15" customHeight="1">
      <c r="A127" s="17" t="s">
        <v>413</v>
      </c>
      <c r="B127" s="18" t="s">
        <v>24</v>
      </c>
      <c r="C127" s="19" t="s">
        <v>25</v>
      </c>
    </row>
    <row r="128" spans="1:3" s="35" customFormat="1" ht="12.75" customHeight="1">
      <c r="A128" s="6" t="s">
        <v>414</v>
      </c>
      <c r="B128" s="7" t="str">
        <f>CONCATENATE(TEXT('BE Bearings Clevite'!J43*25.4, "0.0000"), " mm")</f>
        <v>1.9888 mm</v>
      </c>
      <c r="C128" s="8" t="str">
        <f>CONCATENATE(TEXT('BE Bearings Clevite'!J43, "0.00000"), " inch")</f>
        <v>0.07830 inch</v>
      </c>
    </row>
    <row r="129" spans="1:3" s="34" customFormat="1" ht="12.75" customHeight="1">
      <c r="A129" s="21" t="s">
        <v>415</v>
      </c>
      <c r="B129" s="22" t="str">
        <f>CONCATENATE(TEXT('BE Bearings Clevite'!F43*25.4, "0.0000"), " - ", TEXT('BE Bearings Clevite'!N43*25.4, "0.0000"), " mm")</f>
        <v>1.9837 - 1.9939 mm</v>
      </c>
      <c r="C129" s="23" t="str">
        <f>CONCATENATE(TEXT('BE Bearings Clevite'!F43, "0.00000"), " - ", TEXT('BE Bearings Clevite'!N43, "0.00000"), " inch")</f>
        <v>0.07810 - 0.07850 inch</v>
      </c>
    </row>
    <row r="130" spans="1:3" s="35" customFormat="1" ht="12.75" customHeight="1">
      <c r="A130" s="29" t="s">
        <v>417</v>
      </c>
      <c r="B130" s="30" t="str">
        <f>CONCATENATE(TEXT('BE Bearings Clevite'!F42*25.4, "0.0000"), " - ", TEXT('BE Bearings Clevite'!N42*25.4, "0.0000"), " mm")</f>
        <v>-0.0051 - 0.0051 mm</v>
      </c>
      <c r="C130" s="30" t="str">
        <f>CONCATENATE(TEXT('BE Bearings Clevite'!F42, "0.00000"), " - ", TEXT('BE Bearings Clevite'!N42, "+0.00000"), " inch")</f>
        <v>-0.00020 - +0.00020 inch</v>
      </c>
    </row>
    <row r="131" spans="1:3" s="9" customFormat="1" ht="15" customHeight="1">
      <c r="A131" s="6"/>
      <c r="B131" s="7"/>
      <c r="C131" s="8"/>
    </row>
    <row r="132" spans="1:3" s="9" customFormat="1" ht="15" customHeight="1">
      <c r="A132" s="17" t="s">
        <v>449</v>
      </c>
      <c r="B132" s="18" t="s">
        <v>24</v>
      </c>
      <c r="C132" s="19" t="s">
        <v>25</v>
      </c>
    </row>
    <row r="133" spans="1:3" s="35" customFormat="1" ht="12.75" customHeight="1">
      <c r="A133" s="6" t="s">
        <v>414</v>
      </c>
      <c r="B133" s="7" t="str">
        <f>CONCATENATE(TEXT('BE Bearings Clevite'!J53*25.4, "0.0000"), " mm")</f>
        <v>2.0003 mm</v>
      </c>
      <c r="C133" s="8" t="str">
        <f>CONCATENATE(TEXT('BE Bearings Clevite'!J53, "0.00000"), " inch")</f>
        <v>0.07875 inch</v>
      </c>
    </row>
    <row r="134" spans="1:3" s="34" customFormat="1" ht="12.75" customHeight="1">
      <c r="A134" s="21" t="s">
        <v>415</v>
      </c>
      <c r="B134" s="22" t="str">
        <f>CONCATENATE(TEXT('BE Bearings Clevite'!F53*25.4, "0.0000"), " - ", TEXT('BE Bearings Clevite'!N53*25.4, "0.0000"), " mm")</f>
        <v>1.9952 - 2.0053 mm</v>
      </c>
      <c r="C134" s="23" t="str">
        <f>CONCATENATE(TEXT('BE Bearings Clevite'!F53, "0.00000"), " - ", TEXT('BE Bearings Clevite'!N53, "0.00000"), " inch")</f>
        <v>0.07855 - 0.07895 inch</v>
      </c>
    </row>
    <row r="135" spans="1:3" s="35" customFormat="1" ht="12.75" customHeight="1">
      <c r="A135" s="29" t="s">
        <v>417</v>
      </c>
      <c r="B135" s="30" t="str">
        <f>CONCATENATE(TEXT('BE Bearings Clevite'!F52*25.4, "0.0000"), " - ", TEXT('BE Bearings Clevite'!N52*25.4, "0.0000"), " mm")</f>
        <v>-0.0051 - 0.0051 mm</v>
      </c>
      <c r="C135" s="30" t="str">
        <f>CONCATENATE(TEXT('BE Bearings Clevite'!F52, "0.00000"), " - ", TEXT('BE Bearings Clevite'!N52, "+0.00000"), " inch")</f>
        <v>-0.00020 - +0.00020 inch</v>
      </c>
    </row>
    <row r="136" spans="1:3" s="9" customFormat="1" ht="15" customHeight="1">
      <c r="A136" s="6"/>
      <c r="B136" s="7"/>
      <c r="C136" s="8"/>
    </row>
    <row r="137" spans="1:3" s="9" customFormat="1" ht="15" customHeight="1">
      <c r="A137" s="17" t="s">
        <v>404</v>
      </c>
      <c r="B137" s="18" t="s">
        <v>24</v>
      </c>
      <c r="C137" s="19" t="s">
        <v>25</v>
      </c>
    </row>
    <row r="138" spans="1:3" s="9" customFormat="1" ht="15" customHeight="1">
      <c r="A138" s="29" t="s">
        <v>62</v>
      </c>
      <c r="B138" s="7" t="str">
        <f>CONCATENATE(TEXT('BE Bearings Clevite'!M7*25.4, "0.0000"), " mm")</f>
        <v>52.0413 mm</v>
      </c>
      <c r="C138" s="8" t="str">
        <f>CONCATENATE(TEXT('BE Bearings Clevite'!M7, "0.00000"), " inch")</f>
        <v>2.04887 inch</v>
      </c>
    </row>
    <row r="139" spans="1:3" s="13" customFormat="1" ht="15" customHeight="1">
      <c r="A139" s="10" t="s">
        <v>102</v>
      </c>
      <c r="B139" s="11" t="str">
        <f>CONCATENATE(TEXT('BE Bearings Clevite'!M7*25.4, "0.0000"), " mm")</f>
        <v>52.0413 mm</v>
      </c>
      <c r="C139" s="12" t="str">
        <f>CONCATENATE(TEXT('BE Bearings Clevite'!K7, "0.00000"), " - ", TEXT('BE Bearings Clevite'!L7, "0.00000"), " inch")</f>
        <v>2.04860 - 2.04920 inch</v>
      </c>
    </row>
    <row r="140" spans="1:3" s="9" customFormat="1" ht="15" customHeight="1">
      <c r="A140" s="6" t="s">
        <v>68</v>
      </c>
      <c r="B140" s="7" t="str">
        <f>CONCATENATE(TEXT('BE Bearings Clevite'!M16*25.4, "0.0000"), " mm")</f>
        <v>0.0610 mm</v>
      </c>
      <c r="C140" s="8" t="str">
        <f>CONCATENATE(TEXT('BE Bearings Clevite'!M16, "0.00000"), " inch")</f>
        <v>0.00240 inch</v>
      </c>
    </row>
    <row r="141" spans="1:3" s="13" customFormat="1" ht="15" customHeight="1">
      <c r="A141" s="10" t="s">
        <v>31</v>
      </c>
      <c r="B141" s="11" t="str">
        <f>CONCATENATE(TEXT('BE Bearings Clevite'!K16*25.4, "0.0000"), " - ", TEXT('BE Bearings Clevite'!L16*25.4, "0.0000"), " mm")</f>
        <v>0.0457 - 0.0711 mm</v>
      </c>
      <c r="C141" s="12" t="str">
        <f>CONCATENATE(TEXT('BE Bearings Clevite'!K16, "0.00000"), " - ", TEXT('BE Bearings Clevite'!L16, "0.00000"), " inch")</f>
        <v>0.00180 - 0.00280 inch</v>
      </c>
    </row>
    <row r="142" spans="1:3" s="9" customFormat="1" ht="15" customHeight="1">
      <c r="A142" s="29" t="s">
        <v>74</v>
      </c>
      <c r="B142" s="30" t="str">
        <f>CONCATENATE(TEXT('BE Bearings Clevite'!N16*25.4, "0.0000"), " - ", TEXT('BE Bearings Clevite'!O16*25.4, "+0.0000"), " mm")</f>
        <v>-0.0152 - +0.0102 mm</v>
      </c>
      <c r="C142" s="30" t="str">
        <f>CONCATENATE(TEXT('BE Bearings Clevite'!N16, "0.00000"), " - ", TEXT('BE Bearings Clevite'!O16, "+0.00000"), " inch")</f>
        <v>-0.00060 - +0.00040 inch</v>
      </c>
    </row>
    <row r="143" spans="1:3" s="13" customFormat="1" ht="15" customHeight="1">
      <c r="A143" s="10" t="s">
        <v>77</v>
      </c>
      <c r="B143" s="11"/>
      <c r="C143" s="12" t="str">
        <f>CONCATENATE(TEXT('BE Bearings Clevite'!M13 / 'BE Bearings Clevite'!M7, "0.00000"), " inch/inch")</f>
        <v>0.00116 inch/inch</v>
      </c>
    </row>
    <row r="144" spans="1:3" s="9" customFormat="1" ht="15" customHeight="1">
      <c r="A144" s="6" t="s">
        <v>112</v>
      </c>
      <c r="B144" s="7"/>
      <c r="C144" s="8" t="str">
        <f>CONCATENATE(TEXT('BE Bearings Clevite'!K13 / 'BE Bearings Clevite'!K7, "0.00000"), " - ", TEXT('BE Bearings Clevite'!L13 / 'BE Bearings Clevite'!K7, "0.00000"), " inch/inch")</f>
        <v>0.00103 - 0.00132 inch/inch</v>
      </c>
    </row>
    <row r="145" spans="1:3" s="13" customFormat="1" ht="15" customHeight="1">
      <c r="A145" s="31" t="s">
        <v>81</v>
      </c>
      <c r="B145" s="32" t="str">
        <f>CONCATENATE(TEXT('BE Bearings Clevite'!AA11*25.4, "0.0000"), " mm")</f>
        <v>0.0419 mm</v>
      </c>
      <c r="C145" s="32" t="str">
        <f>CONCATENATE(TEXT('BE Bearings Clevite'!AA11, "0.00000"), " inch")</f>
        <v>0.00165 inch</v>
      </c>
    </row>
    <row r="146" spans="1:3" s="9" customFormat="1" ht="15" customHeight="1">
      <c r="A146" s="29" t="s">
        <v>84</v>
      </c>
      <c r="B146" s="30" t="str">
        <f>CONCATENATE(TEXT('BE Bearings Clevite'!Y11*25.4, "0.0000"), " - ", TEXT('BE Bearings Clevite'!Z11*25.4, "0.0000"), " mm")</f>
        <v>0.0229 - 0.0483 mm</v>
      </c>
      <c r="C146" s="30" t="str">
        <f>CONCATENATE(TEXT('BE Bearings Clevite'!Y11, "0.00000"), " - ", TEXT('BE Bearings Clevite'!Z11, "0.00000"), " inch")</f>
        <v>0.00090 - 0.00190 inch</v>
      </c>
    </row>
    <row r="147" spans="1:3" s="13" customFormat="1" ht="15" customHeight="1">
      <c r="A147" s="31" t="s">
        <v>87</v>
      </c>
      <c r="B147" s="32" t="str">
        <f>CONCATENATE(TEXT('BE Bearings Clevite'!AB11*25.4, "0.0000"), " - ", TEXT('BE Bearings Clevite'!AC11*25.4, "+0.0000"), " mm")</f>
        <v>-0.0191 - +0.0063 mm</v>
      </c>
      <c r="C147" s="32" t="str">
        <f>CONCATENATE(TEXT('BE Bearings Clevite'!AB11, "0.00000"), " - ", TEXT('BE Bearings Clevite'!AC11, "+0.00000"), " inch")</f>
        <v>-0.00075 - +0.00025 inch</v>
      </c>
    </row>
    <row r="148" spans="1:3" s="9" customFormat="1" ht="15" customHeight="1">
      <c r="A148" s="6"/>
      <c r="B148" s="7"/>
      <c r="C148" s="8"/>
    </row>
    <row r="149" spans="1:3" ht="15" customHeight="1">
      <c r="A149" s="1" t="s">
        <v>123</v>
      </c>
    </row>
    <row r="150" spans="1:3" ht="15" customHeight="1">
      <c r="A150" s="1" t="s">
        <v>348</v>
      </c>
    </row>
    <row r="151" spans="1:3" ht="15" customHeight="1">
      <c r="A151" s="1" t="s">
        <v>349</v>
      </c>
    </row>
    <row r="152" spans="1:3" ht="15" customHeight="1">
      <c r="A152" s="1" t="s">
        <v>350</v>
      </c>
    </row>
    <row r="153" spans="1:3">
      <c r="A153" s="1" t="s">
        <v>351</v>
      </c>
    </row>
    <row r="65591" ht="15" customHeight="1"/>
  </sheetData>
  <pageMargins left="0.7" right="0.7" top="0.75" bottom="0.75" header="0.51180555555555496" footer="0.51180555555555496"/>
  <pageSetup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G71"/>
  <sheetViews>
    <sheetView topLeftCell="A97" workbookViewId="0">
      <selection activeCell="X3" sqref="X3:AF10"/>
    </sheetView>
  </sheetViews>
  <sheetFormatPr defaultRowHeight="15"/>
  <cols>
    <col min="1" max="16384" width="9.140625" style="9"/>
  </cols>
  <sheetData>
    <row r="1" spans="1:33">
      <c r="A1" s="9" t="s">
        <v>424</v>
      </c>
      <c r="C1" s="83"/>
      <c r="D1" s="83"/>
      <c r="E1" s="83"/>
      <c r="F1" s="83"/>
      <c r="G1" s="83"/>
      <c r="H1" s="83"/>
      <c r="I1" s="83"/>
      <c r="J1" s="83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3">
      <c r="A2" s="58"/>
      <c r="B2" s="9" t="s">
        <v>241</v>
      </c>
      <c r="C2" s="58"/>
      <c r="D2" s="58">
        <v>72</v>
      </c>
      <c r="E2" s="58">
        <v>71.8</v>
      </c>
      <c r="F2" s="58"/>
      <c r="G2" s="58"/>
      <c r="H2" s="58">
        <v>71.900000000000006</v>
      </c>
      <c r="I2" s="58">
        <v>71.400000000000006</v>
      </c>
      <c r="J2" s="58">
        <v>71.599999999999994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Y2" s="101" t="s">
        <v>270</v>
      </c>
      <c r="Z2" s="101"/>
      <c r="AA2" s="101"/>
      <c r="AB2" s="101"/>
      <c r="AC2" s="101"/>
      <c r="AD2" s="101"/>
      <c r="AE2" s="101"/>
      <c r="AF2" s="101"/>
    </row>
    <row r="3" spans="1:33">
      <c r="A3" s="58"/>
      <c r="B3" s="9" t="s">
        <v>364</v>
      </c>
      <c r="C3" s="83" t="s">
        <v>175</v>
      </c>
      <c r="D3" s="83" t="s">
        <v>176</v>
      </c>
      <c r="E3" s="83" t="s">
        <v>177</v>
      </c>
      <c r="F3" s="83" t="s">
        <v>178</v>
      </c>
      <c r="G3" s="83" t="s">
        <v>179</v>
      </c>
      <c r="H3" s="83" t="s">
        <v>180</v>
      </c>
      <c r="I3" s="83" t="s">
        <v>181</v>
      </c>
      <c r="J3" s="83" t="s">
        <v>182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P3" s="53"/>
      <c r="Q3" s="53"/>
      <c r="R3" s="53"/>
      <c r="S3" s="53"/>
      <c r="T3" s="53"/>
      <c r="U3" s="53"/>
      <c r="Y3" s="88" t="s">
        <v>175</v>
      </c>
      <c r="Z3" s="88" t="s">
        <v>176</v>
      </c>
      <c r="AA3" s="88" t="s">
        <v>177</v>
      </c>
      <c r="AB3" s="88" t="s">
        <v>178</v>
      </c>
      <c r="AC3" s="88" t="s">
        <v>179</v>
      </c>
      <c r="AD3" s="88" t="s">
        <v>180</v>
      </c>
      <c r="AE3" s="88" t="s">
        <v>181</v>
      </c>
      <c r="AF3" s="88" t="s">
        <v>182</v>
      </c>
    </row>
    <row r="4" spans="1:33">
      <c r="A4" s="84"/>
      <c r="B4" s="84">
        <v>5</v>
      </c>
      <c r="C4" s="58"/>
      <c r="D4" s="58">
        <v>2.20465</v>
      </c>
      <c r="E4" s="58">
        <v>2.2047500000000002</v>
      </c>
      <c r="F4" s="58">
        <v>2.2046000000000001</v>
      </c>
      <c r="G4" s="58"/>
      <c r="H4" s="58"/>
      <c r="I4" s="58">
        <v>2.2044000000000001</v>
      </c>
      <c r="J4" s="58">
        <v>2.2048000000000001</v>
      </c>
      <c r="K4" s="58">
        <f t="shared" ref="K4:K11" si="0">MIN(C4:J4)</f>
        <v>2.2044000000000001</v>
      </c>
      <c r="L4" s="58">
        <f t="shared" ref="L4:L11" si="1">MAX(C4:J4)</f>
        <v>2.2048000000000001</v>
      </c>
      <c r="M4" s="58" t="e">
        <f t="shared" ref="M4:M11" si="2">MODE(C4:J4)</f>
        <v>#N/A</v>
      </c>
      <c r="N4" s="58" t="e">
        <f t="shared" ref="N4:N11" si="3">K4-M4</f>
        <v>#N/A</v>
      </c>
      <c r="O4" s="58" t="e">
        <f t="shared" ref="O4:O11" si="4">L4-M4</f>
        <v>#N/A</v>
      </c>
      <c r="P4" s="58"/>
      <c r="Q4" s="84" t="e">
        <f t="shared" ref="Q4:X4" si="5">IF(ISBLANK(C4),NA(),5)</f>
        <v>#N/A</v>
      </c>
      <c r="R4" s="84">
        <f t="shared" si="5"/>
        <v>5</v>
      </c>
      <c r="S4" s="84">
        <f t="shared" si="5"/>
        <v>5</v>
      </c>
      <c r="T4" s="84">
        <f t="shared" si="5"/>
        <v>5</v>
      </c>
      <c r="U4" s="84" t="e">
        <f t="shared" si="5"/>
        <v>#N/A</v>
      </c>
      <c r="V4" s="84" t="e">
        <f t="shared" si="5"/>
        <v>#N/A</v>
      </c>
      <c r="W4" s="84">
        <f t="shared" si="5"/>
        <v>5</v>
      </c>
      <c r="X4" s="84">
        <f t="shared" si="5"/>
        <v>5</v>
      </c>
      <c r="Y4" s="58" t="e">
        <f t="shared" ref="Y4:AF4" si="6">IF(ISBLANK(C4),NA(),AVERAGE(C4,C10)-AVERAGE(C$4,C$10))</f>
        <v>#N/A</v>
      </c>
      <c r="Z4" s="58">
        <f t="shared" si="6"/>
        <v>0</v>
      </c>
      <c r="AA4" s="58">
        <f t="shared" si="6"/>
        <v>0</v>
      </c>
      <c r="AB4" s="58">
        <f t="shared" si="6"/>
        <v>0</v>
      </c>
      <c r="AC4" s="58" t="e">
        <f t="shared" si="6"/>
        <v>#N/A</v>
      </c>
      <c r="AD4" s="58" t="e">
        <f t="shared" si="6"/>
        <v>#N/A</v>
      </c>
      <c r="AE4" s="58">
        <f t="shared" si="6"/>
        <v>0</v>
      </c>
      <c r="AF4" s="58">
        <f t="shared" si="6"/>
        <v>0</v>
      </c>
    </row>
    <row r="5" spans="1:33">
      <c r="A5" s="84"/>
      <c r="B5" s="84">
        <v>19.75</v>
      </c>
      <c r="C5" s="58"/>
      <c r="D5" s="58">
        <v>2.2048000000000001</v>
      </c>
      <c r="E5" s="58">
        <v>2.2048000000000001</v>
      </c>
      <c r="F5" s="58">
        <v>2.2048999999999999</v>
      </c>
      <c r="G5" s="58"/>
      <c r="H5" s="58"/>
      <c r="I5" s="58">
        <v>2.2048000000000001</v>
      </c>
      <c r="J5" s="58">
        <v>2.2048000000000001</v>
      </c>
      <c r="K5" s="58">
        <f t="shared" si="0"/>
        <v>2.2048000000000001</v>
      </c>
      <c r="L5" s="58">
        <f t="shared" si="1"/>
        <v>2.2048999999999999</v>
      </c>
      <c r="M5" s="58">
        <f t="shared" si="2"/>
        <v>2.2048000000000001</v>
      </c>
      <c r="N5" s="58">
        <f t="shared" si="3"/>
        <v>0</v>
      </c>
      <c r="O5" s="58">
        <f t="shared" si="4"/>
        <v>9.9999999999766942E-5</v>
      </c>
      <c r="P5" s="58"/>
      <c r="Q5" s="84" t="e">
        <f t="shared" ref="Q5:X5" si="7">IF(ISBLANK(C5),NA(),19.75)</f>
        <v>#N/A</v>
      </c>
      <c r="R5" s="84">
        <f t="shared" si="7"/>
        <v>19.75</v>
      </c>
      <c r="S5" s="84">
        <f t="shared" si="7"/>
        <v>19.75</v>
      </c>
      <c r="T5" s="84">
        <f t="shared" si="7"/>
        <v>19.75</v>
      </c>
      <c r="U5" s="84" t="e">
        <f t="shared" si="7"/>
        <v>#N/A</v>
      </c>
      <c r="V5" s="84" t="e">
        <f t="shared" si="7"/>
        <v>#N/A</v>
      </c>
      <c r="W5" s="84">
        <f t="shared" si="7"/>
        <v>19.75</v>
      </c>
      <c r="X5" s="84">
        <f t="shared" si="7"/>
        <v>19.75</v>
      </c>
      <c r="Y5" s="58" t="e">
        <f t="shared" ref="Y5:AF5" si="8">IF(ISBLANK(C5),NA(),AVERAGE(C5,C9)-AVERAGE(C$4,C$10))</f>
        <v>#N/A</v>
      </c>
      <c r="Z5" s="58">
        <f t="shared" si="8"/>
        <v>1.2500000000015277E-4</v>
      </c>
      <c r="AA5" s="58">
        <f t="shared" si="8"/>
        <v>-2.4999999999941735E-5</v>
      </c>
      <c r="AB5" s="58">
        <f t="shared" si="8"/>
        <v>1.9999999999997797E-4</v>
      </c>
      <c r="AC5" s="58" t="e">
        <f t="shared" si="8"/>
        <v>#N/A</v>
      </c>
      <c r="AD5" s="58" t="e">
        <f t="shared" si="8"/>
        <v>#N/A</v>
      </c>
      <c r="AE5" s="58">
        <f t="shared" si="8"/>
        <v>2.9999999999974492E-4</v>
      </c>
      <c r="AF5" s="58">
        <f t="shared" si="8"/>
        <v>7.5000000000269296E-5</v>
      </c>
    </row>
    <row r="6" spans="1:33">
      <c r="A6" s="84"/>
      <c r="B6" s="84">
        <v>45</v>
      </c>
      <c r="C6" s="58"/>
      <c r="D6" s="58">
        <v>2.2052</v>
      </c>
      <c r="E6" s="58">
        <v>2.2050000000000001</v>
      </c>
      <c r="F6" s="58">
        <v>2.2051500000000002</v>
      </c>
      <c r="G6" s="58"/>
      <c r="H6" s="58"/>
      <c r="I6" s="58">
        <v>2.2052999999999998</v>
      </c>
      <c r="J6" s="58">
        <v>2.2050000000000001</v>
      </c>
      <c r="K6" s="58">
        <f t="shared" si="0"/>
        <v>2.2050000000000001</v>
      </c>
      <c r="L6" s="58">
        <f t="shared" si="1"/>
        <v>2.2052999999999998</v>
      </c>
      <c r="M6" s="58">
        <f t="shared" si="2"/>
        <v>2.2050000000000001</v>
      </c>
      <c r="N6" s="58">
        <f t="shared" si="3"/>
        <v>0</v>
      </c>
      <c r="O6" s="58">
        <f t="shared" si="4"/>
        <v>2.9999999999974492E-4</v>
      </c>
      <c r="P6" s="58"/>
      <c r="Q6" s="84" t="e">
        <f t="shared" ref="Q6:X6" si="9">IF(ISBLANK(C6),NA(),45)</f>
        <v>#N/A</v>
      </c>
      <c r="R6" s="84">
        <f t="shared" si="9"/>
        <v>45</v>
      </c>
      <c r="S6" s="84">
        <f t="shared" si="9"/>
        <v>45</v>
      </c>
      <c r="T6" s="84">
        <f t="shared" si="9"/>
        <v>45</v>
      </c>
      <c r="U6" s="84" t="e">
        <f t="shared" si="9"/>
        <v>#N/A</v>
      </c>
      <c r="V6" s="84" t="e">
        <f t="shared" si="9"/>
        <v>#N/A</v>
      </c>
      <c r="W6" s="84">
        <f t="shared" si="9"/>
        <v>45</v>
      </c>
      <c r="X6" s="84">
        <f t="shared" si="9"/>
        <v>45</v>
      </c>
      <c r="Y6" s="58" t="e">
        <f t="shared" ref="Y6:AF6" si="10">IF(ISBLANK(C6),NA(),AVERAGE(C6,C8)-AVERAGE(C$4,C$10))</f>
        <v>#N/A</v>
      </c>
      <c r="Z6" s="58">
        <f t="shared" si="10"/>
        <v>3.2500000000013074E-4</v>
      </c>
      <c r="AA6" s="58">
        <f t="shared" si="10"/>
        <v>1.7500000000003624E-4</v>
      </c>
      <c r="AB6" s="58">
        <f t="shared" si="10"/>
        <v>3.9999999999995595E-4</v>
      </c>
      <c r="AC6" s="58" t="e">
        <f t="shared" si="10"/>
        <v>#N/A</v>
      </c>
      <c r="AD6" s="58" t="e">
        <f t="shared" si="10"/>
        <v>#N/A</v>
      </c>
      <c r="AE6" s="58">
        <f t="shared" si="10"/>
        <v>8.4999999999979536E-4</v>
      </c>
      <c r="AF6" s="58">
        <f t="shared" si="10"/>
        <v>-2.4999999999986144E-4</v>
      </c>
    </row>
    <row r="7" spans="1:33">
      <c r="A7" s="84"/>
      <c r="B7" s="84">
        <v>90</v>
      </c>
      <c r="C7" s="58"/>
      <c r="D7" s="58">
        <v>2.2050999999999998</v>
      </c>
      <c r="E7" s="58">
        <v>2.2050999999999998</v>
      </c>
      <c r="F7" s="58">
        <v>2.2052</v>
      </c>
      <c r="G7" s="58"/>
      <c r="H7" s="58"/>
      <c r="I7" s="58">
        <v>2.2056</v>
      </c>
      <c r="J7" s="58">
        <v>2.2040999999999999</v>
      </c>
      <c r="K7" s="58">
        <f t="shared" si="0"/>
        <v>2.2040999999999999</v>
      </c>
      <c r="L7" s="58">
        <f t="shared" si="1"/>
        <v>2.2056</v>
      </c>
      <c r="M7" s="58">
        <f t="shared" si="2"/>
        <v>2.2050999999999998</v>
      </c>
      <c r="N7" s="58">
        <f t="shared" si="3"/>
        <v>-9.9999999999988987E-4</v>
      </c>
      <c r="O7" s="58">
        <f t="shared" si="4"/>
        <v>5.0000000000016698E-4</v>
      </c>
      <c r="P7" s="58"/>
      <c r="Q7" s="84" t="e">
        <f t="shared" ref="Q7:X7" si="11">IF(ISBLANK(C7),NA(),90)</f>
        <v>#N/A</v>
      </c>
      <c r="R7" s="84">
        <f t="shared" si="11"/>
        <v>90</v>
      </c>
      <c r="S7" s="84">
        <f t="shared" si="11"/>
        <v>90</v>
      </c>
      <c r="T7" s="84">
        <f t="shared" si="11"/>
        <v>90</v>
      </c>
      <c r="U7" s="84" t="e">
        <f t="shared" si="11"/>
        <v>#N/A</v>
      </c>
      <c r="V7" s="84" t="e">
        <f t="shared" si="11"/>
        <v>#N/A</v>
      </c>
      <c r="W7" s="84">
        <f t="shared" si="11"/>
        <v>90</v>
      </c>
      <c r="X7" s="84">
        <f t="shared" si="11"/>
        <v>90</v>
      </c>
      <c r="Y7" s="58" t="e">
        <f t="shared" ref="Y7:AF7" si="12">IF(ISBLANK(C7),NA(),C7-AVERAGE(C$4,C$10))</f>
        <v>#N/A</v>
      </c>
      <c r="Z7" s="58">
        <f t="shared" si="12"/>
        <v>4.2499999999989768E-4</v>
      </c>
      <c r="AA7" s="58">
        <f t="shared" si="12"/>
        <v>2.7499999999980318E-4</v>
      </c>
      <c r="AB7" s="58">
        <f t="shared" si="12"/>
        <v>5.5000000000005045E-4</v>
      </c>
      <c r="AC7" s="58" t="e">
        <f t="shared" si="12"/>
        <v>#N/A</v>
      </c>
      <c r="AD7" s="58" t="e">
        <f t="shared" si="12"/>
        <v>#N/A</v>
      </c>
      <c r="AE7" s="58">
        <f t="shared" si="12"/>
        <v>1.1999999999998678E-3</v>
      </c>
      <c r="AF7" s="58">
        <f t="shared" si="12"/>
        <v>-7.0000000000014495E-4</v>
      </c>
    </row>
    <row r="8" spans="1:33">
      <c r="A8" s="84"/>
      <c r="B8" s="84">
        <v>135</v>
      </c>
      <c r="C8" s="58"/>
      <c r="D8" s="58">
        <v>2.2048000000000001</v>
      </c>
      <c r="E8" s="58">
        <v>2.2050000000000001</v>
      </c>
      <c r="F8" s="58">
        <v>2.2049500000000002</v>
      </c>
      <c r="G8" s="58"/>
      <c r="H8" s="58"/>
      <c r="I8" s="58">
        <v>2.2052</v>
      </c>
      <c r="J8" s="58">
        <v>2.2040999999999999</v>
      </c>
      <c r="K8" s="58">
        <f t="shared" si="0"/>
        <v>2.2040999999999999</v>
      </c>
      <c r="L8" s="58">
        <f t="shared" si="1"/>
        <v>2.2052</v>
      </c>
      <c r="M8" s="58" t="e">
        <f t="shared" si="2"/>
        <v>#N/A</v>
      </c>
      <c r="N8" s="58" t="e">
        <f t="shared" si="3"/>
        <v>#N/A</v>
      </c>
      <c r="O8" s="58" t="e">
        <f t="shared" si="4"/>
        <v>#N/A</v>
      </c>
      <c r="P8" s="58"/>
      <c r="Q8" s="84" t="e">
        <f t="shared" ref="Q8:X8" si="13">IF(ISBLANK(C8),NA(),135)</f>
        <v>#N/A</v>
      </c>
      <c r="R8" s="84">
        <f t="shared" si="13"/>
        <v>135</v>
      </c>
      <c r="S8" s="84">
        <f t="shared" si="13"/>
        <v>135</v>
      </c>
      <c r="T8" s="84">
        <f t="shared" si="13"/>
        <v>135</v>
      </c>
      <c r="U8" s="84" t="e">
        <f t="shared" si="13"/>
        <v>#N/A</v>
      </c>
      <c r="V8" s="84" t="e">
        <f t="shared" si="13"/>
        <v>#N/A</v>
      </c>
      <c r="W8" s="84">
        <f t="shared" si="13"/>
        <v>135</v>
      </c>
      <c r="X8" s="84">
        <f t="shared" si="13"/>
        <v>135</v>
      </c>
      <c r="Y8" s="58" t="e">
        <f t="shared" ref="Y8:AF8" si="14">IF(ISBLANK(C8),NA(),AVERAGE(C6,C8)-AVERAGE(C$4,C$10))</f>
        <v>#N/A</v>
      </c>
      <c r="Z8" s="58">
        <f t="shared" si="14"/>
        <v>3.2500000000013074E-4</v>
      </c>
      <c r="AA8" s="58">
        <f t="shared" si="14"/>
        <v>1.7500000000003624E-4</v>
      </c>
      <c r="AB8" s="58">
        <f t="shared" si="14"/>
        <v>3.9999999999995595E-4</v>
      </c>
      <c r="AC8" s="58" t="e">
        <f t="shared" si="14"/>
        <v>#N/A</v>
      </c>
      <c r="AD8" s="58" t="e">
        <f t="shared" si="14"/>
        <v>#N/A</v>
      </c>
      <c r="AE8" s="58">
        <f t="shared" si="14"/>
        <v>8.4999999999979536E-4</v>
      </c>
      <c r="AF8" s="58">
        <f t="shared" si="14"/>
        <v>-2.4999999999986144E-4</v>
      </c>
    </row>
    <row r="9" spans="1:33">
      <c r="A9" s="84"/>
      <c r="B9" s="84">
        <v>160.25</v>
      </c>
      <c r="C9" s="58"/>
      <c r="D9" s="58">
        <v>2.2048000000000001</v>
      </c>
      <c r="E9" s="58">
        <v>2.2048000000000001</v>
      </c>
      <c r="F9" s="58">
        <v>2.2048000000000001</v>
      </c>
      <c r="G9" s="58"/>
      <c r="H9" s="58"/>
      <c r="I9" s="58">
        <v>2.2046000000000001</v>
      </c>
      <c r="J9" s="58">
        <v>2.2049500000000002</v>
      </c>
      <c r="K9" s="58">
        <f t="shared" si="0"/>
        <v>2.2046000000000001</v>
      </c>
      <c r="L9" s="58">
        <f t="shared" si="1"/>
        <v>2.2049500000000002</v>
      </c>
      <c r="M9" s="58">
        <f t="shared" si="2"/>
        <v>2.2048000000000001</v>
      </c>
      <c r="N9" s="58">
        <f t="shared" si="3"/>
        <v>-1.9999999999997797E-4</v>
      </c>
      <c r="O9" s="58">
        <f t="shared" si="4"/>
        <v>1.500000000000945E-4</v>
      </c>
      <c r="P9" s="58"/>
      <c r="Q9" s="84" t="e">
        <f t="shared" ref="Q9:X9" si="15">IF(ISBLANK(C9),NA(),160.25)</f>
        <v>#N/A</v>
      </c>
      <c r="R9" s="84">
        <f t="shared" si="15"/>
        <v>160.25</v>
      </c>
      <c r="S9" s="84">
        <f t="shared" si="15"/>
        <v>160.25</v>
      </c>
      <c r="T9" s="84">
        <f t="shared" si="15"/>
        <v>160.25</v>
      </c>
      <c r="U9" s="84" t="e">
        <f t="shared" si="15"/>
        <v>#N/A</v>
      </c>
      <c r="V9" s="84" t="e">
        <f t="shared" si="15"/>
        <v>#N/A</v>
      </c>
      <c r="W9" s="84">
        <f t="shared" si="15"/>
        <v>160.25</v>
      </c>
      <c r="X9" s="84">
        <f t="shared" si="15"/>
        <v>160.25</v>
      </c>
      <c r="Y9" s="58" t="e">
        <f t="shared" ref="Y9:AF9" si="16">IF(ISBLANK(C9),NA(),AVERAGE(C5,C9)-AVERAGE(C$4,C$10))</f>
        <v>#N/A</v>
      </c>
      <c r="Z9" s="58">
        <f t="shared" si="16"/>
        <v>1.2500000000015277E-4</v>
      </c>
      <c r="AA9" s="58">
        <f t="shared" si="16"/>
        <v>-2.4999999999941735E-5</v>
      </c>
      <c r="AB9" s="58">
        <f t="shared" si="16"/>
        <v>1.9999999999997797E-4</v>
      </c>
      <c r="AC9" s="58" t="e">
        <f t="shared" si="16"/>
        <v>#N/A</v>
      </c>
      <c r="AD9" s="58" t="e">
        <f t="shared" si="16"/>
        <v>#N/A</v>
      </c>
      <c r="AE9" s="58">
        <f t="shared" si="16"/>
        <v>2.9999999999974492E-4</v>
      </c>
      <c r="AF9" s="58">
        <f t="shared" si="16"/>
        <v>7.5000000000269296E-5</v>
      </c>
    </row>
    <row r="10" spans="1:33">
      <c r="A10" s="84"/>
      <c r="B10" s="84">
        <v>175</v>
      </c>
      <c r="C10" s="58"/>
      <c r="D10" s="58">
        <v>2.2046999999999999</v>
      </c>
      <c r="E10" s="58">
        <v>2.2048999999999999</v>
      </c>
      <c r="F10" s="58">
        <v>2.2046999999999999</v>
      </c>
      <c r="H10" s="58"/>
      <c r="I10" s="58">
        <v>2.2044000000000001</v>
      </c>
      <c r="J10" s="58">
        <v>2.2048000000000001</v>
      </c>
      <c r="K10" s="58">
        <f t="shared" si="0"/>
        <v>2.2044000000000001</v>
      </c>
      <c r="L10" s="58">
        <f t="shared" si="1"/>
        <v>2.2048999999999999</v>
      </c>
      <c r="M10" s="58">
        <f t="shared" si="2"/>
        <v>2.2046999999999999</v>
      </c>
      <c r="N10" s="58">
        <f t="shared" si="3"/>
        <v>-2.9999999999974492E-4</v>
      </c>
      <c r="O10" s="58">
        <f t="shared" si="4"/>
        <v>1.9999999999997797E-4</v>
      </c>
      <c r="P10" s="58"/>
      <c r="Q10" s="84" t="e">
        <f t="shared" ref="Q10:X10" si="17">IF(ISBLANK(C10),NA(),175)</f>
        <v>#N/A</v>
      </c>
      <c r="R10" s="84">
        <f t="shared" si="17"/>
        <v>175</v>
      </c>
      <c r="S10" s="84">
        <f t="shared" si="17"/>
        <v>175</v>
      </c>
      <c r="T10" s="84">
        <f t="shared" si="17"/>
        <v>175</v>
      </c>
      <c r="U10" s="84" t="e">
        <f t="shared" si="17"/>
        <v>#N/A</v>
      </c>
      <c r="V10" s="84" t="e">
        <f t="shared" si="17"/>
        <v>#N/A</v>
      </c>
      <c r="W10" s="84">
        <f t="shared" si="17"/>
        <v>175</v>
      </c>
      <c r="X10" s="84">
        <f t="shared" si="17"/>
        <v>175</v>
      </c>
      <c r="Y10" s="58" t="e">
        <f t="shared" ref="Y10:AF10" si="18">IF(ISBLANK(C10),NA(),AVERAGE(C4,C10)-AVERAGE(C$4,C$10))</f>
        <v>#N/A</v>
      </c>
      <c r="Z10" s="58">
        <f t="shared" si="18"/>
        <v>0</v>
      </c>
      <c r="AA10" s="58">
        <f t="shared" si="18"/>
        <v>0</v>
      </c>
      <c r="AB10" s="58">
        <f t="shared" si="18"/>
        <v>0</v>
      </c>
      <c r="AC10" s="58" t="e">
        <f t="shared" si="18"/>
        <v>#N/A</v>
      </c>
      <c r="AD10" s="58" t="e">
        <f t="shared" si="18"/>
        <v>#N/A</v>
      </c>
      <c r="AE10" s="58">
        <f t="shared" si="18"/>
        <v>0</v>
      </c>
      <c r="AF10" s="58">
        <f t="shared" si="18"/>
        <v>0</v>
      </c>
    </row>
    <row r="11" spans="1:33">
      <c r="D11" s="58"/>
      <c r="E11" s="58"/>
      <c r="H11" s="58"/>
      <c r="I11" s="58"/>
      <c r="J11" s="58"/>
      <c r="K11" s="58">
        <f t="shared" si="0"/>
        <v>0</v>
      </c>
      <c r="L11" s="58">
        <f t="shared" si="1"/>
        <v>0</v>
      </c>
      <c r="M11" s="58" t="e">
        <f t="shared" si="2"/>
        <v>#N/A</v>
      </c>
      <c r="N11" s="58" t="e">
        <f t="shared" si="3"/>
        <v>#N/A</v>
      </c>
      <c r="O11" s="58" t="e">
        <f t="shared" si="4"/>
        <v>#N/A</v>
      </c>
      <c r="P11" s="9" t="s">
        <v>367</v>
      </c>
      <c r="Q11" s="84" t="e">
        <f t="shared" ref="Q11:X11" si="19">IF(ISBLANK(C4),NA(),5)</f>
        <v>#N/A</v>
      </c>
      <c r="R11" s="84">
        <f t="shared" si="19"/>
        <v>5</v>
      </c>
      <c r="S11" s="84">
        <f t="shared" si="19"/>
        <v>5</v>
      </c>
      <c r="T11" s="84">
        <f t="shared" si="19"/>
        <v>5</v>
      </c>
      <c r="U11" s="84" t="e">
        <f t="shared" si="19"/>
        <v>#N/A</v>
      </c>
      <c r="V11" s="84" t="e">
        <f t="shared" si="19"/>
        <v>#N/A</v>
      </c>
      <c r="W11" s="84">
        <f t="shared" si="19"/>
        <v>5</v>
      </c>
      <c r="X11" s="84">
        <f t="shared" si="19"/>
        <v>5</v>
      </c>
      <c r="Y11" s="58" t="e">
        <f>Y4-'OEM Rod Bolts'!$AG4</f>
        <v>#N/A</v>
      </c>
      <c r="Z11" s="58">
        <f>Z4-'OEM Rod Bolts'!$AG4</f>
        <v>0</v>
      </c>
      <c r="AA11" s="58">
        <f>AA4-'OEM Rod Bolts'!$AG4</f>
        <v>0</v>
      </c>
      <c r="AB11" s="58">
        <f>AB4-'OEM Rod Bolts'!$AG4</f>
        <v>0</v>
      </c>
      <c r="AC11" s="58" t="e">
        <f>AC4-'OEM Rod Bolts'!$AG4</f>
        <v>#N/A</v>
      </c>
      <c r="AD11" s="58" t="e">
        <f>AD4-'OEM Rod Bolts'!$AG4</f>
        <v>#N/A</v>
      </c>
      <c r="AE11" s="58">
        <f>AE4-'OEM Rod Bolts'!$AG4</f>
        <v>0</v>
      </c>
      <c r="AF11" s="58">
        <f>AF4-'OEM Rod Bolts'!$AG4</f>
        <v>0</v>
      </c>
      <c r="AG11" s="9" t="s">
        <v>367</v>
      </c>
    </row>
    <row r="12" spans="1:33">
      <c r="D12" s="58">
        <f>AVERAGE(C4:J4)</f>
        <v>2.2046400000000004</v>
      </c>
      <c r="P12" s="9" t="s">
        <v>367</v>
      </c>
      <c r="Q12" s="84" t="e">
        <f t="shared" ref="Q12:X12" si="20">IF(ISBLANK(C5),NA(),19.75)</f>
        <v>#N/A</v>
      </c>
      <c r="R12" s="84">
        <f t="shared" si="20"/>
        <v>19.75</v>
      </c>
      <c r="S12" s="84">
        <f t="shared" si="20"/>
        <v>19.75</v>
      </c>
      <c r="T12" s="84">
        <f t="shared" si="20"/>
        <v>19.75</v>
      </c>
      <c r="U12" s="84" t="e">
        <f t="shared" si="20"/>
        <v>#N/A</v>
      </c>
      <c r="V12" s="84" t="e">
        <f t="shared" si="20"/>
        <v>#N/A</v>
      </c>
      <c r="W12" s="84">
        <f t="shared" si="20"/>
        <v>19.75</v>
      </c>
      <c r="X12" s="84">
        <f t="shared" si="20"/>
        <v>19.75</v>
      </c>
      <c r="Y12" s="58" t="e">
        <f>Y5-'OEM Rod Bolts'!$AG5</f>
        <v>#N/A</v>
      </c>
      <c r="Z12" s="58">
        <f>Z5-'OEM Rod Bolts'!$AG5</f>
        <v>1.6562500000028013E-4</v>
      </c>
      <c r="AA12" s="58">
        <f>AA5-'OEM Rod Bolts'!$AG5</f>
        <v>1.5625000000185629E-5</v>
      </c>
      <c r="AB12" s="58">
        <f>AB5-'OEM Rod Bolts'!$AG5</f>
        <v>2.4062500000010534E-4</v>
      </c>
      <c r="AC12" s="58" t="e">
        <f>AC5-'OEM Rod Bolts'!$AG5</f>
        <v>#N/A</v>
      </c>
      <c r="AD12" s="58" t="e">
        <f>AD5-'OEM Rod Bolts'!$AG5</f>
        <v>#N/A</v>
      </c>
      <c r="AE12" s="58">
        <f>AE5-'OEM Rod Bolts'!$AG5</f>
        <v>3.4062499999987228E-4</v>
      </c>
      <c r="AF12" s="58">
        <f>AF5-'OEM Rod Bolts'!$AG5</f>
        <v>1.1562500000039666E-4</v>
      </c>
      <c r="AG12" s="9" t="s">
        <v>367</v>
      </c>
    </row>
    <row r="13" spans="1:33">
      <c r="P13" s="9" t="s">
        <v>367</v>
      </c>
      <c r="Q13" s="84" t="e">
        <f t="shared" ref="Q13:X13" si="21">IF(ISBLANK(C6),NA(),45)</f>
        <v>#N/A</v>
      </c>
      <c r="R13" s="84">
        <f t="shared" si="21"/>
        <v>45</v>
      </c>
      <c r="S13" s="84">
        <f t="shared" si="21"/>
        <v>45</v>
      </c>
      <c r="T13" s="84">
        <f t="shared" si="21"/>
        <v>45</v>
      </c>
      <c r="U13" s="84" t="e">
        <f t="shared" si="21"/>
        <v>#N/A</v>
      </c>
      <c r="V13" s="84" t="e">
        <f t="shared" si="21"/>
        <v>#N/A</v>
      </c>
      <c r="W13" s="84">
        <f t="shared" si="21"/>
        <v>45</v>
      </c>
      <c r="X13" s="84">
        <f t="shared" si="21"/>
        <v>45</v>
      </c>
      <c r="Y13" s="58" t="e">
        <f>Y6-'OEM Rod Bolts'!$AG6</f>
        <v>#N/A</v>
      </c>
      <c r="Z13" s="58">
        <f>Z6-'OEM Rod Bolts'!$AG6</f>
        <v>4.7812500000010694E-4</v>
      </c>
      <c r="AA13" s="58">
        <f>AA6-'OEM Rod Bolts'!$AG6</f>
        <v>3.2812500000001243E-4</v>
      </c>
      <c r="AB13" s="58">
        <f>AB6-'OEM Rod Bolts'!$AG6</f>
        <v>5.5312499999993214E-4</v>
      </c>
      <c r="AC13" s="58" t="e">
        <f>AC6-'OEM Rod Bolts'!$AG6</f>
        <v>#N/A</v>
      </c>
      <c r="AD13" s="58" t="e">
        <f>AD6-'OEM Rod Bolts'!$AG6</f>
        <v>#N/A</v>
      </c>
      <c r="AE13" s="58">
        <f>AE6-'OEM Rod Bolts'!$AG6</f>
        <v>1.0031249999997716E-3</v>
      </c>
      <c r="AF13" s="58">
        <f>AF6-'OEM Rod Bolts'!$AG6</f>
        <v>-9.6874999999885247E-5</v>
      </c>
      <c r="AG13" s="9" t="s">
        <v>367</v>
      </c>
    </row>
    <row r="14" spans="1:33">
      <c r="P14" s="9" t="s">
        <v>367</v>
      </c>
      <c r="Q14" s="84" t="e">
        <f t="shared" ref="Q14:X14" si="22">IF(ISBLANK(C7),NA(),90)</f>
        <v>#N/A</v>
      </c>
      <c r="R14" s="84">
        <f t="shared" si="22"/>
        <v>90</v>
      </c>
      <c r="S14" s="84">
        <f t="shared" si="22"/>
        <v>90</v>
      </c>
      <c r="T14" s="84">
        <f t="shared" si="22"/>
        <v>90</v>
      </c>
      <c r="U14" s="84" t="e">
        <f t="shared" si="22"/>
        <v>#N/A</v>
      </c>
      <c r="V14" s="84" t="e">
        <f t="shared" si="22"/>
        <v>#N/A</v>
      </c>
      <c r="W14" s="84">
        <f t="shared" si="22"/>
        <v>90</v>
      </c>
      <c r="X14" s="84">
        <f t="shared" si="22"/>
        <v>90</v>
      </c>
      <c r="Y14" s="58" t="e">
        <f>Y7-'OEM Rod Bolts'!$AG7</f>
        <v>#N/A</v>
      </c>
      <c r="Z14" s="58">
        <f>Z7-'OEM Rod Bolts'!$AG7</f>
        <v>6.499999999998729E-4</v>
      </c>
      <c r="AA14" s="58">
        <f>AA7-'OEM Rod Bolts'!$AG7</f>
        <v>4.999999999997784E-4</v>
      </c>
      <c r="AB14" s="58">
        <f>AB7-'OEM Rod Bolts'!$AG7</f>
        <v>7.7500000000002567E-4</v>
      </c>
      <c r="AC14" s="58" t="e">
        <f>AC7-'OEM Rod Bolts'!$AG7</f>
        <v>#N/A</v>
      </c>
      <c r="AD14" s="58" t="e">
        <f>AD7-'OEM Rod Bolts'!$AG7</f>
        <v>#N/A</v>
      </c>
      <c r="AE14" s="58">
        <f>AE7-'OEM Rod Bolts'!$AG7</f>
        <v>1.4249999999998431E-3</v>
      </c>
      <c r="AF14" s="58">
        <f>AF7-'OEM Rod Bolts'!$AG7</f>
        <v>-4.7500000000016973E-4</v>
      </c>
      <c r="AG14" s="9" t="s">
        <v>367</v>
      </c>
    </row>
    <row r="15" spans="1:33">
      <c r="P15" s="9" t="s">
        <v>367</v>
      </c>
      <c r="Q15" s="84" t="e">
        <f t="shared" ref="Q15:X15" si="23">IF(ISBLANK(C8),NA(),135)</f>
        <v>#N/A</v>
      </c>
      <c r="R15" s="84">
        <f t="shared" si="23"/>
        <v>135</v>
      </c>
      <c r="S15" s="84">
        <f t="shared" si="23"/>
        <v>135</v>
      </c>
      <c r="T15" s="84">
        <f t="shared" si="23"/>
        <v>135</v>
      </c>
      <c r="U15" s="84" t="e">
        <f t="shared" si="23"/>
        <v>#N/A</v>
      </c>
      <c r="V15" s="84" t="e">
        <f t="shared" si="23"/>
        <v>#N/A</v>
      </c>
      <c r="W15" s="84">
        <f t="shared" si="23"/>
        <v>135</v>
      </c>
      <c r="X15" s="84">
        <f t="shared" si="23"/>
        <v>135</v>
      </c>
      <c r="Y15" s="58" t="e">
        <f>Y8-'OEM Rod Bolts'!$AG8</f>
        <v>#N/A</v>
      </c>
      <c r="Z15" s="58">
        <f>Z8-'OEM Rod Bolts'!$AG8</f>
        <v>4.7812500000010694E-4</v>
      </c>
      <c r="AA15" s="58">
        <f>AA8-'OEM Rod Bolts'!$AG8</f>
        <v>3.2812500000001243E-4</v>
      </c>
      <c r="AB15" s="58">
        <f>AB8-'OEM Rod Bolts'!$AG8</f>
        <v>5.5312499999993214E-4</v>
      </c>
      <c r="AC15" s="58" t="e">
        <f>AC8-'OEM Rod Bolts'!$AG8</f>
        <v>#N/A</v>
      </c>
      <c r="AD15" s="58" t="e">
        <f>AD8-'OEM Rod Bolts'!$AG8</f>
        <v>#N/A</v>
      </c>
      <c r="AE15" s="58">
        <f>AE8-'OEM Rod Bolts'!$AG8</f>
        <v>1.0031249999997716E-3</v>
      </c>
      <c r="AF15" s="58">
        <f>AF8-'OEM Rod Bolts'!$AG8</f>
        <v>-9.6874999999885247E-5</v>
      </c>
      <c r="AG15" s="9" t="s">
        <v>367</v>
      </c>
    </row>
    <row r="16" spans="1:33">
      <c r="P16" s="9" t="s">
        <v>367</v>
      </c>
      <c r="Q16" s="84" t="e">
        <f t="shared" ref="Q16:X16" si="24">IF(ISBLANK(C9),NA(),160.25)</f>
        <v>#N/A</v>
      </c>
      <c r="R16" s="84">
        <f t="shared" si="24"/>
        <v>160.25</v>
      </c>
      <c r="S16" s="84">
        <f t="shared" si="24"/>
        <v>160.25</v>
      </c>
      <c r="T16" s="84">
        <f t="shared" si="24"/>
        <v>160.25</v>
      </c>
      <c r="U16" s="84" t="e">
        <f t="shared" si="24"/>
        <v>#N/A</v>
      </c>
      <c r="V16" s="84" t="e">
        <f t="shared" si="24"/>
        <v>#N/A</v>
      </c>
      <c r="W16" s="84">
        <f t="shared" si="24"/>
        <v>160.25</v>
      </c>
      <c r="X16" s="84">
        <f t="shared" si="24"/>
        <v>160.25</v>
      </c>
      <c r="Y16" s="58" t="e">
        <f>Y9-'OEM Rod Bolts'!$AG9</f>
        <v>#N/A</v>
      </c>
      <c r="Z16" s="58">
        <f>Z9-'OEM Rod Bolts'!$AG9</f>
        <v>1.6562500000028013E-4</v>
      </c>
      <c r="AA16" s="58">
        <f>AA9-'OEM Rod Bolts'!$AG9</f>
        <v>1.5625000000185629E-5</v>
      </c>
      <c r="AB16" s="58">
        <f>AB9-'OEM Rod Bolts'!$AG9</f>
        <v>2.4062500000010534E-4</v>
      </c>
      <c r="AC16" s="58" t="e">
        <f>AC9-'OEM Rod Bolts'!$AG9</f>
        <v>#N/A</v>
      </c>
      <c r="AD16" s="58" t="e">
        <f>AD9-'OEM Rod Bolts'!$AG9</f>
        <v>#N/A</v>
      </c>
      <c r="AE16" s="58">
        <f>AE9-'OEM Rod Bolts'!$AG9</f>
        <v>3.4062499999987228E-4</v>
      </c>
      <c r="AF16" s="58">
        <f>AF9-'OEM Rod Bolts'!$AG9</f>
        <v>1.1562500000039666E-4</v>
      </c>
      <c r="AG16" s="9" t="s">
        <v>367</v>
      </c>
    </row>
    <row r="17" spans="1:33">
      <c r="C17" s="83"/>
      <c r="D17" s="83"/>
      <c r="E17" s="83"/>
      <c r="F17" s="83"/>
      <c r="G17" s="83"/>
      <c r="H17" s="83"/>
      <c r="I17" s="83"/>
      <c r="J17" s="83"/>
      <c r="K17" s="58"/>
      <c r="L17" s="58"/>
      <c r="M17" s="58"/>
      <c r="N17" s="58"/>
      <c r="O17" s="58"/>
      <c r="P17" s="9" t="s">
        <v>367</v>
      </c>
      <c r="Q17" s="84" t="e">
        <f t="shared" ref="Q17:X17" si="25">IF(ISBLANK(C10),NA(),175)</f>
        <v>#N/A</v>
      </c>
      <c r="R17" s="84">
        <f t="shared" si="25"/>
        <v>175</v>
      </c>
      <c r="S17" s="84">
        <f t="shared" si="25"/>
        <v>175</v>
      </c>
      <c r="T17" s="84">
        <f t="shared" si="25"/>
        <v>175</v>
      </c>
      <c r="U17" s="84" t="e">
        <f t="shared" si="25"/>
        <v>#N/A</v>
      </c>
      <c r="V17" s="84" t="e">
        <f t="shared" si="25"/>
        <v>#N/A</v>
      </c>
      <c r="W17" s="84">
        <f t="shared" si="25"/>
        <v>175</v>
      </c>
      <c r="X17" s="84">
        <f t="shared" si="25"/>
        <v>175</v>
      </c>
      <c r="Y17" s="58" t="e">
        <f>Y10-'OEM Rod Bolts'!$AG10</f>
        <v>#N/A</v>
      </c>
      <c r="Z17" s="58">
        <f>Z10-'OEM Rod Bolts'!$AG10</f>
        <v>0</v>
      </c>
      <c r="AA17" s="58">
        <f>AA10-'OEM Rod Bolts'!$AG10</f>
        <v>0</v>
      </c>
      <c r="AB17" s="58">
        <f>AB10-'OEM Rod Bolts'!$AG10</f>
        <v>0</v>
      </c>
      <c r="AC17" s="58" t="e">
        <f>AC10-'OEM Rod Bolts'!$AG10</f>
        <v>#N/A</v>
      </c>
      <c r="AD17" s="58" t="e">
        <f>AD10-'OEM Rod Bolts'!$AG10</f>
        <v>#N/A</v>
      </c>
      <c r="AE17" s="58">
        <f>AE10-'OEM Rod Bolts'!$AG10</f>
        <v>0</v>
      </c>
      <c r="AF17" s="58">
        <f>AF10-'OEM Rod Bolts'!$AG10</f>
        <v>0</v>
      </c>
      <c r="AG17" s="9" t="s">
        <v>367</v>
      </c>
    </row>
    <row r="18" spans="1:33">
      <c r="A18" s="9" t="s">
        <v>445</v>
      </c>
      <c r="C18" s="83"/>
      <c r="D18" s="83"/>
      <c r="E18" s="83"/>
      <c r="F18" s="83"/>
      <c r="G18" s="83"/>
      <c r="H18" s="83"/>
      <c r="I18" s="83"/>
      <c r="J18" s="8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33">
      <c r="A19" s="58"/>
      <c r="B19" s="9" t="s">
        <v>241</v>
      </c>
      <c r="C19" s="58"/>
      <c r="D19" s="58">
        <v>72</v>
      </c>
      <c r="E19" s="58">
        <v>71.8</v>
      </c>
      <c r="F19" s="58"/>
      <c r="G19" s="58"/>
      <c r="H19" s="58">
        <v>71.900000000000006</v>
      </c>
      <c r="I19" s="58">
        <v>71.400000000000006</v>
      </c>
      <c r="J19" s="58">
        <v>71.599999999999994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Y19" s="101" t="s">
        <v>270</v>
      </c>
      <c r="Z19" s="101"/>
      <c r="AA19" s="101"/>
      <c r="AB19" s="101"/>
      <c r="AC19" s="101"/>
      <c r="AD19" s="101"/>
      <c r="AE19" s="101"/>
      <c r="AF19" s="101"/>
    </row>
    <row r="20" spans="1:33">
      <c r="A20" s="58"/>
      <c r="B20" s="9" t="s">
        <v>364</v>
      </c>
      <c r="C20" s="83" t="s">
        <v>175</v>
      </c>
      <c r="D20" s="83" t="s">
        <v>176</v>
      </c>
      <c r="E20" s="83" t="s">
        <v>177</v>
      </c>
      <c r="F20" s="83" t="s">
        <v>178</v>
      </c>
      <c r="G20" s="83" t="s">
        <v>179</v>
      </c>
      <c r="H20" s="83" t="s">
        <v>180</v>
      </c>
      <c r="I20" s="83" t="s">
        <v>181</v>
      </c>
      <c r="J20" s="83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P20" s="53"/>
      <c r="Q20" s="53"/>
      <c r="R20" s="53"/>
      <c r="S20" s="53"/>
      <c r="T20" s="53"/>
      <c r="U20" s="53"/>
      <c r="Y20" s="98" t="s">
        <v>175</v>
      </c>
      <c r="Z20" s="98" t="s">
        <v>176</v>
      </c>
      <c r="AA20" s="98" t="s">
        <v>177</v>
      </c>
      <c r="AB20" s="98" t="s">
        <v>178</v>
      </c>
      <c r="AC20" s="98" t="s">
        <v>179</v>
      </c>
      <c r="AD20" s="98" t="s">
        <v>180</v>
      </c>
      <c r="AE20" s="98" t="s">
        <v>181</v>
      </c>
      <c r="AF20" s="98" t="s">
        <v>182</v>
      </c>
    </row>
    <row r="21" spans="1:33">
      <c r="A21" s="84"/>
      <c r="B21" s="84">
        <v>5</v>
      </c>
      <c r="C21" s="58"/>
      <c r="D21" s="58">
        <v>2.2048000000000001</v>
      </c>
      <c r="E21" s="58">
        <v>2.2048999999999999</v>
      </c>
      <c r="F21" s="58">
        <v>2.2046999999999999</v>
      </c>
      <c r="G21" s="58"/>
      <c r="H21" s="58"/>
      <c r="I21" s="58">
        <v>2.2044000000000001</v>
      </c>
      <c r="J21" s="58">
        <v>2.2048000000000001</v>
      </c>
      <c r="K21" s="58">
        <f t="shared" ref="K21:K28" si="26">MIN(C21:J21)</f>
        <v>2.2044000000000001</v>
      </c>
      <c r="L21" s="58">
        <f t="shared" ref="L21:L28" si="27">MAX(C21:J21)</f>
        <v>2.2048999999999999</v>
      </c>
      <c r="M21" s="58">
        <f t="shared" ref="M21:M28" si="28">MODE(C21:J21)</f>
        <v>2.2048000000000001</v>
      </c>
      <c r="N21" s="58">
        <f t="shared" ref="N21:N28" si="29">K21-M21</f>
        <v>-3.9999999999995595E-4</v>
      </c>
      <c r="O21" s="58">
        <f t="shared" ref="O21:O28" si="30">L21-M21</f>
        <v>9.9999999999766942E-5</v>
      </c>
      <c r="P21" s="58"/>
      <c r="Q21" s="84" t="e">
        <f t="shared" ref="Q21" si="31">IF(ISBLANK(C21),NA(),5)</f>
        <v>#N/A</v>
      </c>
      <c r="R21" s="84">
        <f t="shared" ref="R21" si="32">IF(ISBLANK(D21),NA(),5)</f>
        <v>5</v>
      </c>
      <c r="S21" s="84">
        <f t="shared" ref="S21" si="33">IF(ISBLANK(E21),NA(),5)</f>
        <v>5</v>
      </c>
      <c r="T21" s="84">
        <f t="shared" ref="T21" si="34">IF(ISBLANK(F21),NA(),5)</f>
        <v>5</v>
      </c>
      <c r="U21" s="84" t="e">
        <f t="shared" ref="U21" si="35">IF(ISBLANK(G21),NA(),5)</f>
        <v>#N/A</v>
      </c>
      <c r="V21" s="84" t="e">
        <f t="shared" ref="V21" si="36">IF(ISBLANK(H21),NA(),5)</f>
        <v>#N/A</v>
      </c>
      <c r="W21" s="84">
        <f t="shared" ref="W21" si="37">IF(ISBLANK(I21),NA(),5)</f>
        <v>5</v>
      </c>
      <c r="X21" s="84">
        <f t="shared" ref="X21" si="38">IF(ISBLANK(J21),NA(),5)</f>
        <v>5</v>
      </c>
      <c r="Y21" s="58" t="e">
        <f t="shared" ref="Y21" si="39">IF(ISBLANK(C21),NA(),AVERAGE(C21,C27)-AVERAGE(C$4,C$10))</f>
        <v>#N/A</v>
      </c>
      <c r="Z21" s="58">
        <f t="shared" ref="Z21" si="40">IF(ISBLANK(D21),NA(),AVERAGE(D21,D27)-AVERAGE(D$4,D$10))</f>
        <v>1.0000000000021103E-4</v>
      </c>
      <c r="AA21" s="58">
        <f t="shared" ref="AA21" si="41">IF(ISBLANK(E21),NA(),AVERAGE(E21,E27)-AVERAGE(E$4,E$10))</f>
        <v>2.4999999999941735E-5</v>
      </c>
      <c r="AB21" s="58">
        <f t="shared" ref="AB21" si="42">IF(ISBLANK(F21),NA(),AVERAGE(F21,F27)-AVERAGE(F$4,F$10))</f>
        <v>7.4999999999825206E-5</v>
      </c>
      <c r="AC21" s="58" t="e">
        <f t="shared" ref="AC21" si="43">IF(ISBLANK(G21),NA(),AVERAGE(G21,G27)-AVERAGE(G$4,G$10))</f>
        <v>#N/A</v>
      </c>
      <c r="AD21" s="58" t="e">
        <f t="shared" ref="AD21" si="44">IF(ISBLANK(H21),NA(),AVERAGE(H21,H27)-AVERAGE(H$4,H$10))</f>
        <v>#N/A</v>
      </c>
      <c r="AE21" s="58">
        <f t="shared" ref="AE21" si="45">IF(ISBLANK(I21),NA(),AVERAGE(I21,I27)-AVERAGE(I$4,I$10))</f>
        <v>-5.000000000032756E-5</v>
      </c>
      <c r="AF21" s="58">
        <f t="shared" ref="AF21" si="46">IF(ISBLANK(J21),NA(),AVERAGE(J21,J27)-AVERAGE(J$4,J$10))</f>
        <v>4.9999999999883471E-5</v>
      </c>
    </row>
    <row r="22" spans="1:33">
      <c r="A22" s="84"/>
      <c r="B22" s="84">
        <v>19.75</v>
      </c>
      <c r="C22" s="58"/>
      <c r="D22" s="58">
        <v>2.20485</v>
      </c>
      <c r="E22" s="58">
        <v>2.2048999999999999</v>
      </c>
      <c r="F22" s="58">
        <v>2.20485</v>
      </c>
      <c r="G22" s="58"/>
      <c r="H22" s="58"/>
      <c r="I22" s="58">
        <v>2.2046999999999999</v>
      </c>
      <c r="J22" s="58">
        <v>2.2047500000000002</v>
      </c>
      <c r="K22" s="58">
        <f t="shared" si="26"/>
        <v>2.2046999999999999</v>
      </c>
      <c r="L22" s="58">
        <f t="shared" si="27"/>
        <v>2.2048999999999999</v>
      </c>
      <c r="M22" s="58">
        <f t="shared" si="28"/>
        <v>2.20485</v>
      </c>
      <c r="N22" s="58">
        <f t="shared" si="29"/>
        <v>-1.500000000000945E-4</v>
      </c>
      <c r="O22" s="58">
        <f t="shared" si="30"/>
        <v>4.9999999999883471E-5</v>
      </c>
      <c r="P22" s="58"/>
      <c r="Q22" s="84" t="e">
        <f t="shared" ref="Q22" si="47">IF(ISBLANK(C22),NA(),19.75)</f>
        <v>#N/A</v>
      </c>
      <c r="R22" s="84">
        <f t="shared" ref="R22" si="48">IF(ISBLANK(D22),NA(),19.75)</f>
        <v>19.75</v>
      </c>
      <c r="S22" s="84">
        <f t="shared" ref="S22" si="49">IF(ISBLANK(E22),NA(),19.75)</f>
        <v>19.75</v>
      </c>
      <c r="T22" s="84">
        <f t="shared" ref="T22" si="50">IF(ISBLANK(F22),NA(),19.75)</f>
        <v>19.75</v>
      </c>
      <c r="U22" s="84" t="e">
        <f t="shared" ref="U22" si="51">IF(ISBLANK(G22),NA(),19.75)</f>
        <v>#N/A</v>
      </c>
      <c r="V22" s="84" t="e">
        <f t="shared" ref="V22" si="52">IF(ISBLANK(H22),NA(),19.75)</f>
        <v>#N/A</v>
      </c>
      <c r="W22" s="84">
        <f t="shared" ref="W22" si="53">IF(ISBLANK(I22),NA(),19.75)</f>
        <v>19.75</v>
      </c>
      <c r="X22" s="84">
        <f t="shared" ref="X22" si="54">IF(ISBLANK(J22),NA(),19.75)</f>
        <v>19.75</v>
      </c>
      <c r="Y22" s="58" t="e">
        <f t="shared" ref="Y22" si="55">IF(ISBLANK(C22),NA(),AVERAGE(C22,C26)-AVERAGE(C$4,C$10))</f>
        <v>#N/A</v>
      </c>
      <c r="Z22" s="58">
        <f t="shared" ref="Z22" si="56">IF(ISBLANK(D22),NA(),AVERAGE(D22,D26)-AVERAGE(D$4,D$10))</f>
        <v>2.250000000003638E-4</v>
      </c>
      <c r="AA22" s="58">
        <f t="shared" ref="AA22" si="57">IF(ISBLANK(E22),NA(),AVERAGE(E22,E26)-AVERAGE(E$4,E$10))</f>
        <v>7.4999999999825206E-5</v>
      </c>
      <c r="AB22" s="58">
        <f t="shared" ref="AB22" si="58">IF(ISBLANK(F22),NA(),AVERAGE(F22,F26)-AVERAGE(F$4,F$10))</f>
        <v>2.2499999999991971E-4</v>
      </c>
      <c r="AC22" s="58" t="e">
        <f t="shared" ref="AC22" si="59">IF(ISBLANK(G22),NA(),AVERAGE(G22,G26)-AVERAGE(G$4,G$10))</f>
        <v>#N/A</v>
      </c>
      <c r="AD22" s="58" t="e">
        <f t="shared" ref="AD22" si="60">IF(ISBLANK(H22),NA(),AVERAGE(H22,H26)-AVERAGE(H$4,H$10))</f>
        <v>#N/A</v>
      </c>
      <c r="AE22" s="58">
        <f t="shared" ref="AE22" si="61">IF(ISBLANK(I22),NA(),AVERAGE(I22,I26)-AVERAGE(I$4,I$10))</f>
        <v>2.9999999999974492E-4</v>
      </c>
      <c r="AF22" s="58">
        <f t="shared" ref="AF22" si="62">IF(ISBLANK(J22),NA(),AVERAGE(J22,J26)-AVERAGE(J$4,J$10))</f>
        <v>2.4999999999941735E-5</v>
      </c>
    </row>
    <row r="23" spans="1:33">
      <c r="A23" s="84"/>
      <c r="B23" s="84">
        <v>45</v>
      </c>
      <c r="C23" s="58"/>
      <c r="D23" s="58">
        <v>2.2047500000000002</v>
      </c>
      <c r="E23" s="58">
        <v>2.2048999999999999</v>
      </c>
      <c r="F23" s="58">
        <v>2.2049500000000002</v>
      </c>
      <c r="G23" s="58"/>
      <c r="H23" s="58"/>
      <c r="I23" s="58">
        <v>2.2052</v>
      </c>
      <c r="J23" s="58">
        <v>2.2048000000000001</v>
      </c>
      <c r="K23" s="58">
        <f t="shared" si="26"/>
        <v>2.2047500000000002</v>
      </c>
      <c r="L23" s="58">
        <f t="shared" si="27"/>
        <v>2.2052</v>
      </c>
      <c r="M23" s="58" t="e">
        <f t="shared" si="28"/>
        <v>#N/A</v>
      </c>
      <c r="N23" s="58" t="e">
        <f t="shared" si="29"/>
        <v>#N/A</v>
      </c>
      <c r="O23" s="58" t="e">
        <f t="shared" si="30"/>
        <v>#N/A</v>
      </c>
      <c r="P23" s="58"/>
      <c r="Q23" s="84" t="e">
        <f t="shared" ref="Q23" si="63">IF(ISBLANK(C23),NA(),45)</f>
        <v>#N/A</v>
      </c>
      <c r="R23" s="84">
        <f t="shared" ref="R23" si="64">IF(ISBLANK(D23),NA(),45)</f>
        <v>45</v>
      </c>
      <c r="S23" s="84">
        <f t="shared" ref="S23" si="65">IF(ISBLANK(E23),NA(),45)</f>
        <v>45</v>
      </c>
      <c r="T23" s="84">
        <f t="shared" ref="T23" si="66">IF(ISBLANK(F23),NA(),45)</f>
        <v>45</v>
      </c>
      <c r="U23" s="84" t="e">
        <f t="shared" ref="U23" si="67">IF(ISBLANK(G23),NA(),45)</f>
        <v>#N/A</v>
      </c>
      <c r="V23" s="84" t="e">
        <f t="shared" ref="V23" si="68">IF(ISBLANK(H23),NA(),45)</f>
        <v>#N/A</v>
      </c>
      <c r="W23" s="84">
        <f t="shared" ref="W23" si="69">IF(ISBLANK(I23),NA(),45)</f>
        <v>45</v>
      </c>
      <c r="X23" s="84">
        <f t="shared" ref="X23" si="70">IF(ISBLANK(J23),NA(),45)</f>
        <v>45</v>
      </c>
      <c r="Y23" s="58" t="e">
        <f t="shared" ref="Y23" si="71">IF(ISBLANK(C23),NA(),AVERAGE(C23,C25)-AVERAGE(C$4,C$10))</f>
        <v>#N/A</v>
      </c>
      <c r="Z23" s="58">
        <f t="shared" ref="Z23" si="72">IF(ISBLANK(D23),NA(),AVERAGE(D23,D25)-AVERAGE(D$4,D$10))</f>
        <v>2.5000000000030553E-4</v>
      </c>
      <c r="AA23" s="58">
        <f t="shared" ref="AA23" si="73">IF(ISBLANK(E23),NA(),AVERAGE(E23,E25)-AVERAGE(E$4,E$10))</f>
        <v>1.2500000000015277E-4</v>
      </c>
      <c r="AB23" s="58">
        <f t="shared" ref="AB23" si="74">IF(ISBLANK(F23),NA(),AVERAGE(F23,F25)-AVERAGE(F$4,F$10))</f>
        <v>3.7500000000001421E-4</v>
      </c>
      <c r="AC23" s="58" t="e">
        <f t="shared" ref="AC23" si="75">IF(ISBLANK(G23),NA(),AVERAGE(G23,G25)-AVERAGE(G$4,G$10))</f>
        <v>#N/A</v>
      </c>
      <c r="AD23" s="58" t="e">
        <f t="shared" ref="AD23" si="76">IF(ISBLANK(H23),NA(),AVERAGE(H23,H25)-AVERAGE(H$4,H$10))</f>
        <v>#N/A</v>
      </c>
      <c r="AE23" s="58">
        <f t="shared" ref="AE23" si="77">IF(ISBLANK(I23),NA(),AVERAGE(I23,I25)-AVERAGE(I$4,I$10))</f>
        <v>7.4999999999958433E-4</v>
      </c>
      <c r="AF23" s="58">
        <f t="shared" ref="AF23" si="78">IF(ISBLANK(J23),NA(),AVERAGE(J23,J25)-AVERAGE(J$4,J$10))</f>
        <v>7.5000000000269296E-5</v>
      </c>
    </row>
    <row r="24" spans="1:33">
      <c r="A24" s="84"/>
      <c r="B24" s="84">
        <v>90</v>
      </c>
      <c r="C24" s="58"/>
      <c r="D24" s="58">
        <v>2.2050000000000001</v>
      </c>
      <c r="E24" s="58">
        <v>2.2050000000000001</v>
      </c>
      <c r="F24" s="58">
        <v>2.2050999999999998</v>
      </c>
      <c r="G24" s="58"/>
      <c r="H24" s="58"/>
      <c r="I24" s="58">
        <v>2.2054</v>
      </c>
      <c r="J24" s="58">
        <v>2.2049500000000002</v>
      </c>
      <c r="K24" s="58">
        <f t="shared" si="26"/>
        <v>2.2049500000000002</v>
      </c>
      <c r="L24" s="58">
        <f t="shared" si="27"/>
        <v>2.2054</v>
      </c>
      <c r="M24" s="58">
        <f t="shared" si="28"/>
        <v>2.2050000000000001</v>
      </c>
      <c r="N24" s="58">
        <f t="shared" si="29"/>
        <v>-4.9999999999883471E-5</v>
      </c>
      <c r="O24" s="58">
        <f t="shared" si="30"/>
        <v>3.9999999999995595E-4</v>
      </c>
      <c r="P24" s="58"/>
      <c r="Q24" s="84" t="e">
        <f t="shared" ref="Q24" si="79">IF(ISBLANK(C24),NA(),90)</f>
        <v>#N/A</v>
      </c>
      <c r="R24" s="84">
        <f t="shared" ref="R24" si="80">IF(ISBLANK(D24),NA(),90)</f>
        <v>90</v>
      </c>
      <c r="S24" s="84">
        <f t="shared" ref="S24" si="81">IF(ISBLANK(E24),NA(),90)</f>
        <v>90</v>
      </c>
      <c r="T24" s="84">
        <f t="shared" ref="T24" si="82">IF(ISBLANK(F24),NA(),90)</f>
        <v>90</v>
      </c>
      <c r="U24" s="84" t="e">
        <f t="shared" ref="U24" si="83">IF(ISBLANK(G24),NA(),90)</f>
        <v>#N/A</v>
      </c>
      <c r="V24" s="84" t="e">
        <f t="shared" ref="V24" si="84">IF(ISBLANK(H24),NA(),90)</f>
        <v>#N/A</v>
      </c>
      <c r="W24" s="84">
        <f t="shared" ref="W24" si="85">IF(ISBLANK(I24),NA(),90)</f>
        <v>90</v>
      </c>
      <c r="X24" s="84">
        <f t="shared" ref="X24" si="86">IF(ISBLANK(J24),NA(),90)</f>
        <v>90</v>
      </c>
      <c r="Y24" s="58" t="e">
        <f t="shared" ref="Y24" si="87">IF(ISBLANK(C24),NA(),C24-AVERAGE(C$4,C$10))</f>
        <v>#N/A</v>
      </c>
      <c r="Z24" s="58">
        <f t="shared" ref="Z24" si="88">IF(ISBLANK(D24),NA(),D24-AVERAGE(D$4,D$10))</f>
        <v>3.2500000000013074E-4</v>
      </c>
      <c r="AA24" s="58">
        <f t="shared" ref="AA24" si="89">IF(ISBLANK(E24),NA(),E24-AVERAGE(E$4,E$10))</f>
        <v>1.7500000000003624E-4</v>
      </c>
      <c r="AB24" s="58">
        <f t="shared" ref="AB24" si="90">IF(ISBLANK(F24),NA(),F24-AVERAGE(F$4,F$10))</f>
        <v>4.4999999999983942E-4</v>
      </c>
      <c r="AC24" s="58" t="e">
        <f t="shared" ref="AC24" si="91">IF(ISBLANK(G24),NA(),G24-AVERAGE(G$4,G$10))</f>
        <v>#N/A</v>
      </c>
      <c r="AD24" s="58" t="e">
        <f t="shared" ref="AD24" si="92">IF(ISBLANK(H24),NA(),H24-AVERAGE(H$4,H$10))</f>
        <v>#N/A</v>
      </c>
      <c r="AE24" s="58">
        <f t="shared" ref="AE24" si="93">IF(ISBLANK(I24),NA(),I24-AVERAGE(I$4,I$10))</f>
        <v>9.9999999999988987E-4</v>
      </c>
      <c r="AF24" s="58">
        <f t="shared" ref="AF24" si="94">IF(ISBLANK(J24),NA(),J24-AVERAGE(J$4,J$10))</f>
        <v>1.500000000000945E-4</v>
      </c>
    </row>
    <row r="25" spans="1:33">
      <c r="A25" s="84"/>
      <c r="B25" s="84">
        <v>135</v>
      </c>
      <c r="C25" s="58"/>
      <c r="D25" s="58">
        <v>2.2050999999999998</v>
      </c>
      <c r="E25" s="58">
        <v>2.2050000000000001</v>
      </c>
      <c r="F25" s="58">
        <v>2.2050999999999998</v>
      </c>
      <c r="G25" s="58"/>
      <c r="H25" s="58"/>
      <c r="I25" s="58">
        <v>2.2050999999999998</v>
      </c>
      <c r="J25" s="58">
        <v>2.2049500000000002</v>
      </c>
      <c r="K25" s="58">
        <f t="shared" si="26"/>
        <v>2.2049500000000002</v>
      </c>
      <c r="L25" s="58">
        <f t="shared" si="27"/>
        <v>2.2050999999999998</v>
      </c>
      <c r="M25" s="58">
        <f t="shared" si="28"/>
        <v>2.2050999999999998</v>
      </c>
      <c r="N25" s="58">
        <f t="shared" si="29"/>
        <v>-1.4999999999965041E-4</v>
      </c>
      <c r="O25" s="58">
        <f t="shared" si="30"/>
        <v>0</v>
      </c>
      <c r="P25" s="58"/>
      <c r="Q25" s="84" t="e">
        <f t="shared" ref="Q25" si="95">IF(ISBLANK(C25),NA(),135)</f>
        <v>#N/A</v>
      </c>
      <c r="R25" s="84">
        <f t="shared" ref="R25" si="96">IF(ISBLANK(D25),NA(),135)</f>
        <v>135</v>
      </c>
      <c r="S25" s="84">
        <f t="shared" ref="S25" si="97">IF(ISBLANK(E25),NA(),135)</f>
        <v>135</v>
      </c>
      <c r="T25" s="84">
        <f t="shared" ref="T25" si="98">IF(ISBLANK(F25),NA(),135)</f>
        <v>135</v>
      </c>
      <c r="U25" s="84" t="e">
        <f t="shared" ref="U25" si="99">IF(ISBLANK(G25),NA(),135)</f>
        <v>#N/A</v>
      </c>
      <c r="V25" s="84" t="e">
        <f t="shared" ref="V25" si="100">IF(ISBLANK(H25),NA(),135)</f>
        <v>#N/A</v>
      </c>
      <c r="W25" s="84">
        <f t="shared" ref="W25" si="101">IF(ISBLANK(I25),NA(),135)</f>
        <v>135</v>
      </c>
      <c r="X25" s="84">
        <f t="shared" ref="X25" si="102">IF(ISBLANK(J25),NA(),135)</f>
        <v>135</v>
      </c>
      <c r="Y25" s="58" t="e">
        <f t="shared" ref="Y25" si="103">IF(ISBLANK(C25),NA(),AVERAGE(C23,C25)-AVERAGE(C$4,C$10))</f>
        <v>#N/A</v>
      </c>
      <c r="Z25" s="58">
        <f t="shared" ref="Z25" si="104">IF(ISBLANK(D25),NA(),AVERAGE(D23,D25)-AVERAGE(D$4,D$10))</f>
        <v>2.5000000000030553E-4</v>
      </c>
      <c r="AA25" s="58">
        <f t="shared" ref="AA25" si="105">IF(ISBLANK(E25),NA(),AVERAGE(E23,E25)-AVERAGE(E$4,E$10))</f>
        <v>1.2500000000015277E-4</v>
      </c>
      <c r="AB25" s="58">
        <f t="shared" ref="AB25" si="106">IF(ISBLANK(F25),NA(),AVERAGE(F23,F25)-AVERAGE(F$4,F$10))</f>
        <v>3.7500000000001421E-4</v>
      </c>
      <c r="AC25" s="58" t="e">
        <f t="shared" ref="AC25" si="107">IF(ISBLANK(G25),NA(),AVERAGE(G23,G25)-AVERAGE(G$4,G$10))</f>
        <v>#N/A</v>
      </c>
      <c r="AD25" s="58" t="e">
        <f t="shared" ref="AD25" si="108">IF(ISBLANK(H25),NA(),AVERAGE(H23,H25)-AVERAGE(H$4,H$10))</f>
        <v>#N/A</v>
      </c>
      <c r="AE25" s="58">
        <f t="shared" ref="AE25" si="109">IF(ISBLANK(I25),NA(),AVERAGE(I23,I25)-AVERAGE(I$4,I$10))</f>
        <v>7.4999999999958433E-4</v>
      </c>
      <c r="AF25" s="58">
        <f t="shared" ref="AF25" si="110">IF(ISBLANK(J25),NA(),AVERAGE(J23,J25)-AVERAGE(J$4,J$10))</f>
        <v>7.5000000000269296E-5</v>
      </c>
    </row>
    <row r="26" spans="1:33">
      <c r="A26" s="84"/>
      <c r="B26" s="84">
        <v>160.25</v>
      </c>
      <c r="C26" s="58"/>
      <c r="D26" s="58">
        <v>2.2049500000000002</v>
      </c>
      <c r="E26" s="58">
        <v>2.2048999999999999</v>
      </c>
      <c r="F26" s="58">
        <v>2.2048999999999999</v>
      </c>
      <c r="G26" s="58"/>
      <c r="H26" s="58"/>
      <c r="I26" s="58">
        <v>2.2046999999999999</v>
      </c>
      <c r="J26" s="58">
        <v>2.2048999999999999</v>
      </c>
      <c r="K26" s="58">
        <f t="shared" si="26"/>
        <v>2.2046999999999999</v>
      </c>
      <c r="L26" s="58">
        <f t="shared" si="27"/>
        <v>2.2049500000000002</v>
      </c>
      <c r="M26" s="58">
        <f t="shared" si="28"/>
        <v>2.2048999999999999</v>
      </c>
      <c r="N26" s="58">
        <f t="shared" si="29"/>
        <v>-1.9999999999997797E-4</v>
      </c>
      <c r="O26" s="58">
        <f t="shared" si="30"/>
        <v>5.000000000032756E-5</v>
      </c>
      <c r="P26" s="58"/>
      <c r="Q26" s="84" t="e">
        <f t="shared" ref="Q26" si="111">IF(ISBLANK(C26),NA(),160.25)</f>
        <v>#N/A</v>
      </c>
      <c r="R26" s="84">
        <f t="shared" ref="R26" si="112">IF(ISBLANK(D26),NA(),160.25)</f>
        <v>160.25</v>
      </c>
      <c r="S26" s="84">
        <f t="shared" ref="S26" si="113">IF(ISBLANK(E26),NA(),160.25)</f>
        <v>160.25</v>
      </c>
      <c r="T26" s="84">
        <f t="shared" ref="T26" si="114">IF(ISBLANK(F26),NA(),160.25)</f>
        <v>160.25</v>
      </c>
      <c r="U26" s="84" t="e">
        <f t="shared" ref="U26" si="115">IF(ISBLANK(G26),NA(),160.25)</f>
        <v>#N/A</v>
      </c>
      <c r="V26" s="84" t="e">
        <f t="shared" ref="V26" si="116">IF(ISBLANK(H26),NA(),160.25)</f>
        <v>#N/A</v>
      </c>
      <c r="W26" s="84">
        <f t="shared" ref="W26" si="117">IF(ISBLANK(I26),NA(),160.25)</f>
        <v>160.25</v>
      </c>
      <c r="X26" s="84">
        <f t="shared" ref="X26" si="118">IF(ISBLANK(J26),NA(),160.25)</f>
        <v>160.25</v>
      </c>
      <c r="Y26" s="58" t="e">
        <f t="shared" ref="Y26" si="119">IF(ISBLANK(C26),NA(),AVERAGE(C22,C26)-AVERAGE(C$4,C$10))</f>
        <v>#N/A</v>
      </c>
      <c r="Z26" s="58">
        <f t="shared" ref="Z26" si="120">IF(ISBLANK(D26),NA(),AVERAGE(D22,D26)-AVERAGE(D$4,D$10))</f>
        <v>2.250000000003638E-4</v>
      </c>
      <c r="AA26" s="58">
        <f t="shared" ref="AA26" si="121">IF(ISBLANK(E26),NA(),AVERAGE(E22,E26)-AVERAGE(E$4,E$10))</f>
        <v>7.4999999999825206E-5</v>
      </c>
      <c r="AB26" s="58">
        <f t="shared" ref="AB26" si="122">IF(ISBLANK(F26),NA(),AVERAGE(F22,F26)-AVERAGE(F$4,F$10))</f>
        <v>2.2499999999991971E-4</v>
      </c>
      <c r="AC26" s="58" t="e">
        <f t="shared" ref="AC26" si="123">IF(ISBLANK(G26),NA(),AVERAGE(G22,G26)-AVERAGE(G$4,G$10))</f>
        <v>#N/A</v>
      </c>
      <c r="AD26" s="58" t="e">
        <f t="shared" ref="AD26" si="124">IF(ISBLANK(H26),NA(),AVERAGE(H22,H26)-AVERAGE(H$4,H$10))</f>
        <v>#N/A</v>
      </c>
      <c r="AE26" s="58">
        <f t="shared" ref="AE26" si="125">IF(ISBLANK(I26),NA(),AVERAGE(I22,I26)-AVERAGE(I$4,I$10))</f>
        <v>2.9999999999974492E-4</v>
      </c>
      <c r="AF26" s="58">
        <f t="shared" ref="AF26" si="126">IF(ISBLANK(J26),NA(),AVERAGE(J22,J26)-AVERAGE(J$4,J$10))</f>
        <v>2.4999999999941735E-5</v>
      </c>
    </row>
    <row r="27" spans="1:33">
      <c r="A27" s="84"/>
      <c r="B27" s="84">
        <v>175</v>
      </c>
      <c r="C27" s="58"/>
      <c r="D27" s="58">
        <v>2.2047500000000002</v>
      </c>
      <c r="E27" s="58">
        <v>2.2048000000000001</v>
      </c>
      <c r="F27" s="58">
        <v>2.2047500000000002</v>
      </c>
      <c r="H27" s="58"/>
      <c r="I27" s="58">
        <v>2.2042999999999999</v>
      </c>
      <c r="J27" s="58">
        <v>2.2048999999999999</v>
      </c>
      <c r="K27" s="58">
        <f t="shared" si="26"/>
        <v>2.2042999999999999</v>
      </c>
      <c r="L27" s="58">
        <f t="shared" si="27"/>
        <v>2.2048999999999999</v>
      </c>
      <c r="M27" s="58">
        <f t="shared" si="28"/>
        <v>2.2047500000000002</v>
      </c>
      <c r="N27" s="58">
        <f t="shared" si="29"/>
        <v>-4.5000000000028351E-4</v>
      </c>
      <c r="O27" s="58">
        <f t="shared" si="30"/>
        <v>1.4999999999965041E-4</v>
      </c>
      <c r="P27" s="58"/>
      <c r="Q27" s="84" t="e">
        <f t="shared" ref="Q27" si="127">IF(ISBLANK(C27),NA(),175)</f>
        <v>#N/A</v>
      </c>
      <c r="R27" s="84">
        <f t="shared" ref="R27" si="128">IF(ISBLANK(D27),NA(),175)</f>
        <v>175</v>
      </c>
      <c r="S27" s="84">
        <f t="shared" ref="S27" si="129">IF(ISBLANK(E27),NA(),175)</f>
        <v>175</v>
      </c>
      <c r="T27" s="84">
        <f t="shared" ref="T27" si="130">IF(ISBLANK(F27),NA(),175)</f>
        <v>175</v>
      </c>
      <c r="U27" s="84" t="e">
        <f t="shared" ref="U27" si="131">IF(ISBLANK(G27),NA(),175)</f>
        <v>#N/A</v>
      </c>
      <c r="V27" s="84" t="e">
        <f t="shared" ref="V27" si="132">IF(ISBLANK(H27),NA(),175)</f>
        <v>#N/A</v>
      </c>
      <c r="W27" s="84">
        <f t="shared" ref="W27" si="133">IF(ISBLANK(I27),NA(),175)</f>
        <v>175</v>
      </c>
      <c r="X27" s="84">
        <f t="shared" ref="X27" si="134">IF(ISBLANK(J27),NA(),175)</f>
        <v>175</v>
      </c>
      <c r="Y27" s="58" t="e">
        <f t="shared" ref="Y27" si="135">IF(ISBLANK(C27),NA(),AVERAGE(C21,C27)-AVERAGE(C$4,C$10))</f>
        <v>#N/A</v>
      </c>
      <c r="Z27" s="58">
        <f t="shared" ref="Z27" si="136">IF(ISBLANK(D27),NA(),AVERAGE(D21,D27)-AVERAGE(D$4,D$10))</f>
        <v>1.0000000000021103E-4</v>
      </c>
      <c r="AA27" s="58">
        <f t="shared" ref="AA27" si="137">IF(ISBLANK(E27),NA(),AVERAGE(E21,E27)-AVERAGE(E$4,E$10))</f>
        <v>2.4999999999941735E-5</v>
      </c>
      <c r="AB27" s="58">
        <f t="shared" ref="AB27" si="138">IF(ISBLANK(F27),NA(),AVERAGE(F21,F27)-AVERAGE(F$4,F$10))</f>
        <v>7.4999999999825206E-5</v>
      </c>
      <c r="AC27" s="58" t="e">
        <f t="shared" ref="AC27" si="139">IF(ISBLANK(G27),NA(),AVERAGE(G21,G27)-AVERAGE(G$4,G$10))</f>
        <v>#N/A</v>
      </c>
      <c r="AD27" s="58" t="e">
        <f t="shared" ref="AD27" si="140">IF(ISBLANK(H27),NA(),AVERAGE(H21,H27)-AVERAGE(H$4,H$10))</f>
        <v>#N/A</v>
      </c>
      <c r="AE27" s="58">
        <f t="shared" ref="AE27" si="141">IF(ISBLANK(I27),NA(),AVERAGE(I21,I27)-AVERAGE(I$4,I$10))</f>
        <v>-5.000000000032756E-5</v>
      </c>
      <c r="AF27" s="58">
        <f t="shared" ref="AF27" si="142">IF(ISBLANK(J27),NA(),AVERAGE(J21,J27)-AVERAGE(J$4,J$10))</f>
        <v>4.9999999999883471E-5</v>
      </c>
    </row>
    <row r="28" spans="1:33">
      <c r="D28" s="58"/>
      <c r="E28" s="58"/>
      <c r="H28" s="58"/>
      <c r="I28" s="58"/>
      <c r="J28" s="58"/>
      <c r="K28" s="58">
        <f t="shared" si="26"/>
        <v>0</v>
      </c>
      <c r="L28" s="58">
        <f t="shared" si="27"/>
        <v>0</v>
      </c>
      <c r="M28" s="58" t="e">
        <f t="shared" si="28"/>
        <v>#N/A</v>
      </c>
      <c r="N28" s="58" t="e">
        <f t="shared" si="29"/>
        <v>#N/A</v>
      </c>
      <c r="O28" s="58" t="e">
        <f t="shared" si="30"/>
        <v>#N/A</v>
      </c>
      <c r="P28" s="9" t="s">
        <v>367</v>
      </c>
      <c r="Q28" s="84" t="e">
        <f t="shared" ref="Q28" si="143">IF(ISBLANK(C21),NA(),5)</f>
        <v>#N/A</v>
      </c>
      <c r="R28" s="84">
        <f t="shared" ref="R28" si="144">IF(ISBLANK(D21),NA(),5)</f>
        <v>5</v>
      </c>
      <c r="S28" s="84">
        <f t="shared" ref="S28" si="145">IF(ISBLANK(E21),NA(),5)</f>
        <v>5</v>
      </c>
      <c r="T28" s="84">
        <f t="shared" ref="T28" si="146">IF(ISBLANK(F21),NA(),5)</f>
        <v>5</v>
      </c>
      <c r="U28" s="84" t="e">
        <f t="shared" ref="U28" si="147">IF(ISBLANK(G21),NA(),5)</f>
        <v>#N/A</v>
      </c>
      <c r="V28" s="84" t="e">
        <f t="shared" ref="V28" si="148">IF(ISBLANK(H21),NA(),5)</f>
        <v>#N/A</v>
      </c>
      <c r="W28" s="84">
        <f t="shared" ref="W28" si="149">IF(ISBLANK(I21),NA(),5)</f>
        <v>5</v>
      </c>
      <c r="X28" s="84">
        <f t="shared" ref="X28" si="150">IF(ISBLANK(J21),NA(),5)</f>
        <v>5</v>
      </c>
      <c r="Y28" s="58" t="e">
        <f>Y21-'OEM Rod Bolts'!$AG21</f>
        <v>#N/A</v>
      </c>
      <c r="Z28" s="58">
        <f>Z21-'OEM Rod Bolts'!$AG21</f>
        <v>1.0000000000021103E-4</v>
      </c>
      <c r="AA28" s="58">
        <f>AA21-'OEM Rod Bolts'!$AG21</f>
        <v>2.4999999999941735E-5</v>
      </c>
      <c r="AB28" s="58">
        <f>AB21-'OEM Rod Bolts'!$AG21</f>
        <v>7.4999999999825206E-5</v>
      </c>
      <c r="AC28" s="58" t="e">
        <f>AC21-'OEM Rod Bolts'!$AG21</f>
        <v>#N/A</v>
      </c>
      <c r="AD28" s="58" t="e">
        <f>AD21-'OEM Rod Bolts'!$AG21</f>
        <v>#N/A</v>
      </c>
      <c r="AE28" s="58">
        <f>AE21-'OEM Rod Bolts'!$AG21</f>
        <v>-5.000000000032756E-5</v>
      </c>
      <c r="AF28" s="58">
        <f>AF21-'OEM Rod Bolts'!$AG21</f>
        <v>4.9999999999883471E-5</v>
      </c>
      <c r="AG28" s="9" t="s">
        <v>367</v>
      </c>
    </row>
    <row r="29" spans="1:33">
      <c r="D29" s="58">
        <f>AVERAGE(C21:J21)</f>
        <v>2.20472</v>
      </c>
      <c r="P29" s="9" t="s">
        <v>367</v>
      </c>
      <c r="Q29" s="84" t="e">
        <f t="shared" ref="Q29" si="151">IF(ISBLANK(C22),NA(),19.75)</f>
        <v>#N/A</v>
      </c>
      <c r="R29" s="84">
        <f t="shared" ref="R29" si="152">IF(ISBLANK(D22),NA(),19.75)</f>
        <v>19.75</v>
      </c>
      <c r="S29" s="84">
        <f t="shared" ref="S29" si="153">IF(ISBLANK(E22),NA(),19.75)</f>
        <v>19.75</v>
      </c>
      <c r="T29" s="84">
        <f t="shared" ref="T29" si="154">IF(ISBLANK(F22),NA(),19.75)</f>
        <v>19.75</v>
      </c>
      <c r="U29" s="84" t="e">
        <f t="shared" ref="U29" si="155">IF(ISBLANK(G22),NA(),19.75)</f>
        <v>#N/A</v>
      </c>
      <c r="V29" s="84" t="e">
        <f t="shared" ref="V29" si="156">IF(ISBLANK(H22),NA(),19.75)</f>
        <v>#N/A</v>
      </c>
      <c r="W29" s="84">
        <f t="shared" ref="W29" si="157">IF(ISBLANK(I22),NA(),19.75)</f>
        <v>19.75</v>
      </c>
      <c r="X29" s="84">
        <f t="shared" ref="X29" si="158">IF(ISBLANK(J22),NA(),19.75)</f>
        <v>19.75</v>
      </c>
      <c r="Y29" s="58" t="e">
        <f>Y22-'OEM Rod Bolts'!$AG22</f>
        <v>#N/A</v>
      </c>
      <c r="Z29" s="58">
        <f>Z22-'OEM Rod Bolts'!$AG22</f>
        <v>2.250000000003638E-4</v>
      </c>
      <c r="AA29" s="58">
        <f>AA22-'OEM Rod Bolts'!$AG22</f>
        <v>7.4999999999825206E-5</v>
      </c>
      <c r="AB29" s="58">
        <f>AB22-'OEM Rod Bolts'!$AG22</f>
        <v>2.2499999999991971E-4</v>
      </c>
      <c r="AC29" s="58" t="e">
        <f>AC22-'OEM Rod Bolts'!$AG22</f>
        <v>#N/A</v>
      </c>
      <c r="AD29" s="58" t="e">
        <f>AD22-'OEM Rod Bolts'!$AG22</f>
        <v>#N/A</v>
      </c>
      <c r="AE29" s="58">
        <f>AE22-'OEM Rod Bolts'!$AG22</f>
        <v>2.9999999999974492E-4</v>
      </c>
      <c r="AF29" s="58">
        <f>AF22-'OEM Rod Bolts'!$AG22</f>
        <v>2.4999999999941735E-5</v>
      </c>
      <c r="AG29" s="9" t="s">
        <v>367</v>
      </c>
    </row>
    <row r="30" spans="1:33">
      <c r="P30" s="9" t="s">
        <v>367</v>
      </c>
      <c r="Q30" s="84" t="e">
        <f t="shared" ref="Q30" si="159">IF(ISBLANK(C23),NA(),45)</f>
        <v>#N/A</v>
      </c>
      <c r="R30" s="84">
        <f t="shared" ref="R30" si="160">IF(ISBLANK(D23),NA(),45)</f>
        <v>45</v>
      </c>
      <c r="S30" s="84">
        <f t="shared" ref="S30" si="161">IF(ISBLANK(E23),NA(),45)</f>
        <v>45</v>
      </c>
      <c r="T30" s="84">
        <f t="shared" ref="T30" si="162">IF(ISBLANK(F23),NA(),45)</f>
        <v>45</v>
      </c>
      <c r="U30" s="84" t="e">
        <f t="shared" ref="U30" si="163">IF(ISBLANK(G23),NA(),45)</f>
        <v>#N/A</v>
      </c>
      <c r="V30" s="84" t="e">
        <f t="shared" ref="V30" si="164">IF(ISBLANK(H23),NA(),45)</f>
        <v>#N/A</v>
      </c>
      <c r="W30" s="84">
        <f t="shared" ref="W30" si="165">IF(ISBLANK(I23),NA(),45)</f>
        <v>45</v>
      </c>
      <c r="X30" s="84">
        <f t="shared" ref="X30" si="166">IF(ISBLANK(J23),NA(),45)</f>
        <v>45</v>
      </c>
      <c r="Y30" s="58" t="e">
        <f>Y23-'OEM Rod Bolts'!$AG23</f>
        <v>#N/A</v>
      </c>
      <c r="Z30" s="58">
        <f>Z23-'OEM Rod Bolts'!$AG23</f>
        <v>2.5000000000030553E-4</v>
      </c>
      <c r="AA30" s="58">
        <f>AA23-'OEM Rod Bolts'!$AG23</f>
        <v>1.2500000000015277E-4</v>
      </c>
      <c r="AB30" s="58">
        <f>AB23-'OEM Rod Bolts'!$AG23</f>
        <v>3.7500000000001421E-4</v>
      </c>
      <c r="AC30" s="58" t="e">
        <f>AC23-'OEM Rod Bolts'!$AG23</f>
        <v>#N/A</v>
      </c>
      <c r="AD30" s="58" t="e">
        <f>AD23-'OEM Rod Bolts'!$AG23</f>
        <v>#N/A</v>
      </c>
      <c r="AE30" s="58">
        <f>AE23-'OEM Rod Bolts'!$AG23</f>
        <v>7.4999999999958433E-4</v>
      </c>
      <c r="AF30" s="58">
        <f>AF23-'OEM Rod Bolts'!$AG23</f>
        <v>7.5000000000269296E-5</v>
      </c>
      <c r="AG30" s="9" t="s">
        <v>367</v>
      </c>
    </row>
    <row r="31" spans="1:33">
      <c r="P31" s="9" t="s">
        <v>367</v>
      </c>
      <c r="Q31" s="84" t="e">
        <f t="shared" ref="Q31" si="167">IF(ISBLANK(C24),NA(),90)</f>
        <v>#N/A</v>
      </c>
      <c r="R31" s="84">
        <f t="shared" ref="R31" si="168">IF(ISBLANK(D24),NA(),90)</f>
        <v>90</v>
      </c>
      <c r="S31" s="84">
        <f t="shared" ref="S31" si="169">IF(ISBLANK(E24),NA(),90)</f>
        <v>90</v>
      </c>
      <c r="T31" s="84">
        <f t="shared" ref="T31" si="170">IF(ISBLANK(F24),NA(),90)</f>
        <v>90</v>
      </c>
      <c r="U31" s="84" t="e">
        <f t="shared" ref="U31" si="171">IF(ISBLANK(G24),NA(),90)</f>
        <v>#N/A</v>
      </c>
      <c r="V31" s="84" t="e">
        <f t="shared" ref="V31" si="172">IF(ISBLANK(H24),NA(),90)</f>
        <v>#N/A</v>
      </c>
      <c r="W31" s="84">
        <f t="shared" ref="W31" si="173">IF(ISBLANK(I24),NA(),90)</f>
        <v>90</v>
      </c>
      <c r="X31" s="84">
        <f t="shared" ref="X31" si="174">IF(ISBLANK(J24),NA(),90)</f>
        <v>90</v>
      </c>
      <c r="Y31" s="58" t="e">
        <f>Y24-'OEM Rod Bolts'!$AG24</f>
        <v>#N/A</v>
      </c>
      <c r="Z31" s="58">
        <f>Z24-'OEM Rod Bolts'!$AG24</f>
        <v>3.2500000000013074E-4</v>
      </c>
      <c r="AA31" s="58">
        <f>AA24-'OEM Rod Bolts'!$AG24</f>
        <v>1.7500000000003624E-4</v>
      </c>
      <c r="AB31" s="58">
        <f>AB24-'OEM Rod Bolts'!$AG24</f>
        <v>4.4999999999983942E-4</v>
      </c>
      <c r="AC31" s="58" t="e">
        <f>AC24-'OEM Rod Bolts'!$AG24</f>
        <v>#N/A</v>
      </c>
      <c r="AD31" s="58" t="e">
        <f>AD24-'OEM Rod Bolts'!$AG24</f>
        <v>#N/A</v>
      </c>
      <c r="AE31" s="58">
        <f>AE24-'OEM Rod Bolts'!$AG24</f>
        <v>9.9999999999988987E-4</v>
      </c>
      <c r="AF31" s="58">
        <f>AF24-'OEM Rod Bolts'!$AG24</f>
        <v>1.500000000000945E-4</v>
      </c>
      <c r="AG31" s="9" t="s">
        <v>367</v>
      </c>
    </row>
    <row r="32" spans="1:33">
      <c r="P32" s="9" t="s">
        <v>367</v>
      </c>
      <c r="Q32" s="84" t="e">
        <f t="shared" ref="Q32" si="175">IF(ISBLANK(C25),NA(),135)</f>
        <v>#N/A</v>
      </c>
      <c r="R32" s="84">
        <f t="shared" ref="R32" si="176">IF(ISBLANK(D25),NA(),135)</f>
        <v>135</v>
      </c>
      <c r="S32" s="84">
        <f t="shared" ref="S32" si="177">IF(ISBLANK(E25),NA(),135)</f>
        <v>135</v>
      </c>
      <c r="T32" s="84">
        <f t="shared" ref="T32" si="178">IF(ISBLANK(F25),NA(),135)</f>
        <v>135</v>
      </c>
      <c r="U32" s="84" t="e">
        <f t="shared" ref="U32" si="179">IF(ISBLANK(G25),NA(),135)</f>
        <v>#N/A</v>
      </c>
      <c r="V32" s="84" t="e">
        <f t="shared" ref="V32" si="180">IF(ISBLANK(H25),NA(),135)</f>
        <v>#N/A</v>
      </c>
      <c r="W32" s="84">
        <f t="shared" ref="W32" si="181">IF(ISBLANK(I25),NA(),135)</f>
        <v>135</v>
      </c>
      <c r="X32" s="84">
        <f t="shared" ref="X32" si="182">IF(ISBLANK(J25),NA(),135)</f>
        <v>135</v>
      </c>
      <c r="Y32" s="58" t="e">
        <f>Y25-'OEM Rod Bolts'!$AG25</f>
        <v>#N/A</v>
      </c>
      <c r="Z32" s="58">
        <f>Z25-'OEM Rod Bolts'!$AG25</f>
        <v>2.5000000000030553E-4</v>
      </c>
      <c r="AA32" s="58">
        <f>AA25-'OEM Rod Bolts'!$AG25</f>
        <v>1.2500000000015277E-4</v>
      </c>
      <c r="AB32" s="58">
        <f>AB25-'OEM Rod Bolts'!$AG25</f>
        <v>3.7500000000001421E-4</v>
      </c>
      <c r="AC32" s="58" t="e">
        <f>AC25-'OEM Rod Bolts'!$AG25</f>
        <v>#N/A</v>
      </c>
      <c r="AD32" s="58" t="e">
        <f>AD25-'OEM Rod Bolts'!$AG25</f>
        <v>#N/A</v>
      </c>
      <c r="AE32" s="58">
        <f>AE25-'OEM Rod Bolts'!$AG25</f>
        <v>7.4999999999958433E-4</v>
      </c>
      <c r="AF32" s="58">
        <f>AF25-'OEM Rod Bolts'!$AG25</f>
        <v>7.5000000000269296E-5</v>
      </c>
      <c r="AG32" s="9" t="s">
        <v>367</v>
      </c>
    </row>
    <row r="33" spans="1:33">
      <c r="P33" s="9" t="s">
        <v>367</v>
      </c>
      <c r="Q33" s="84" t="e">
        <f t="shared" ref="Q33" si="183">IF(ISBLANK(C26),NA(),160.25)</f>
        <v>#N/A</v>
      </c>
      <c r="R33" s="84">
        <f t="shared" ref="R33" si="184">IF(ISBLANK(D26),NA(),160.25)</f>
        <v>160.25</v>
      </c>
      <c r="S33" s="84">
        <f t="shared" ref="S33" si="185">IF(ISBLANK(E26),NA(),160.25)</f>
        <v>160.25</v>
      </c>
      <c r="T33" s="84">
        <f t="shared" ref="T33" si="186">IF(ISBLANK(F26),NA(),160.25)</f>
        <v>160.25</v>
      </c>
      <c r="U33" s="84" t="e">
        <f t="shared" ref="U33" si="187">IF(ISBLANK(G26),NA(),160.25)</f>
        <v>#N/A</v>
      </c>
      <c r="V33" s="84" t="e">
        <f t="shared" ref="V33" si="188">IF(ISBLANK(H26),NA(),160.25)</f>
        <v>#N/A</v>
      </c>
      <c r="W33" s="84">
        <f t="shared" ref="W33" si="189">IF(ISBLANK(I26),NA(),160.25)</f>
        <v>160.25</v>
      </c>
      <c r="X33" s="84">
        <f t="shared" ref="X33" si="190">IF(ISBLANK(J26),NA(),160.25)</f>
        <v>160.25</v>
      </c>
      <c r="Y33" s="58" t="e">
        <f>Y26-'OEM Rod Bolts'!$AG26</f>
        <v>#N/A</v>
      </c>
      <c r="Z33" s="58">
        <f>Z26-'OEM Rod Bolts'!$AG26</f>
        <v>2.250000000003638E-4</v>
      </c>
      <c r="AA33" s="58">
        <f>AA26-'OEM Rod Bolts'!$AG26</f>
        <v>7.4999999999825206E-5</v>
      </c>
      <c r="AB33" s="58">
        <f>AB26-'OEM Rod Bolts'!$AG26</f>
        <v>2.2499999999991971E-4</v>
      </c>
      <c r="AC33" s="58" t="e">
        <f>AC26-'OEM Rod Bolts'!$AG26</f>
        <v>#N/A</v>
      </c>
      <c r="AD33" s="58" t="e">
        <f>AD26-'OEM Rod Bolts'!$AG26</f>
        <v>#N/A</v>
      </c>
      <c r="AE33" s="58">
        <f>AE26-'OEM Rod Bolts'!$AG26</f>
        <v>2.9999999999974492E-4</v>
      </c>
      <c r="AF33" s="58">
        <f>AF26-'OEM Rod Bolts'!$AG26</f>
        <v>2.4999999999941735E-5</v>
      </c>
      <c r="AG33" s="9" t="s">
        <v>367</v>
      </c>
    </row>
    <row r="34" spans="1:33">
      <c r="C34" s="83"/>
      <c r="D34" s="83"/>
      <c r="E34" s="83"/>
      <c r="F34" s="83"/>
      <c r="G34" s="83"/>
      <c r="H34" s="83"/>
      <c r="I34" s="83"/>
      <c r="J34" s="83"/>
      <c r="K34" s="58"/>
      <c r="L34" s="58"/>
      <c r="M34" s="58"/>
      <c r="N34" s="58"/>
      <c r="O34" s="58"/>
      <c r="P34" s="9" t="s">
        <v>367</v>
      </c>
      <c r="Q34" s="84" t="e">
        <f t="shared" ref="Q34" si="191">IF(ISBLANK(C27),NA(),175)</f>
        <v>#N/A</v>
      </c>
      <c r="R34" s="84">
        <f t="shared" ref="R34" si="192">IF(ISBLANK(D27),NA(),175)</f>
        <v>175</v>
      </c>
      <c r="S34" s="84">
        <f t="shared" ref="S34" si="193">IF(ISBLANK(E27),NA(),175)</f>
        <v>175</v>
      </c>
      <c r="T34" s="84">
        <f t="shared" ref="T34" si="194">IF(ISBLANK(F27),NA(),175)</f>
        <v>175</v>
      </c>
      <c r="U34" s="84" t="e">
        <f t="shared" ref="U34" si="195">IF(ISBLANK(G27),NA(),175)</f>
        <v>#N/A</v>
      </c>
      <c r="V34" s="84" t="e">
        <f t="shared" ref="V34" si="196">IF(ISBLANK(H27),NA(),175)</f>
        <v>#N/A</v>
      </c>
      <c r="W34" s="84">
        <f t="shared" ref="W34" si="197">IF(ISBLANK(I27),NA(),175)</f>
        <v>175</v>
      </c>
      <c r="X34" s="84">
        <f t="shared" ref="X34" si="198">IF(ISBLANK(J27),NA(),175)</f>
        <v>175</v>
      </c>
      <c r="Y34" s="58" t="e">
        <f>Y27-'OEM Rod Bolts'!$AG27</f>
        <v>#N/A</v>
      </c>
      <c r="Z34" s="58">
        <f>Z27-'OEM Rod Bolts'!$AG27</f>
        <v>1.0000000000021103E-4</v>
      </c>
      <c r="AA34" s="58">
        <f>AA27-'OEM Rod Bolts'!$AG27</f>
        <v>2.4999999999941735E-5</v>
      </c>
      <c r="AB34" s="58">
        <f>AB27-'OEM Rod Bolts'!$AG27</f>
        <v>7.4999999999825206E-5</v>
      </c>
      <c r="AC34" s="58" t="e">
        <f>AC27-'OEM Rod Bolts'!$AG27</f>
        <v>#N/A</v>
      </c>
      <c r="AD34" s="58" t="e">
        <f>AD27-'OEM Rod Bolts'!$AG27</f>
        <v>#N/A</v>
      </c>
      <c r="AE34" s="58">
        <f>AE27-'OEM Rod Bolts'!$AG27</f>
        <v>-5.000000000032756E-5</v>
      </c>
      <c r="AF34" s="58">
        <f>AF27-'OEM Rod Bolts'!$AG27</f>
        <v>4.9999999999883471E-5</v>
      </c>
      <c r="AG34" s="9" t="s">
        <v>367</v>
      </c>
    </row>
    <row r="35" spans="1:33">
      <c r="A35" s="9" t="s">
        <v>402</v>
      </c>
      <c r="C35" s="83"/>
      <c r="D35" s="83"/>
      <c r="E35" s="83"/>
      <c r="F35" s="83"/>
      <c r="G35" s="83"/>
      <c r="H35" s="83"/>
      <c r="I35" s="83"/>
      <c r="J35" s="83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33">
      <c r="A36" s="58"/>
      <c r="B36" s="9" t="s">
        <v>241</v>
      </c>
      <c r="C36" s="58"/>
      <c r="D36" s="58">
        <v>72.099999999999994</v>
      </c>
      <c r="E36" s="58">
        <v>72</v>
      </c>
      <c r="F36" s="58"/>
      <c r="G36" s="58"/>
      <c r="H36" s="58">
        <v>72.2</v>
      </c>
      <c r="I36" s="58">
        <v>72.2</v>
      </c>
      <c r="J36" s="58">
        <v>72.099999999999994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Y36" s="101" t="s">
        <v>270</v>
      </c>
      <c r="Z36" s="101"/>
      <c r="AA36" s="101"/>
      <c r="AB36" s="101"/>
      <c r="AC36" s="101"/>
      <c r="AD36" s="101"/>
      <c r="AE36" s="101"/>
      <c r="AF36" s="101"/>
    </row>
    <row r="37" spans="1:33">
      <c r="A37" s="58"/>
      <c r="B37" s="9" t="s">
        <v>364</v>
      </c>
      <c r="C37" s="83" t="s">
        <v>175</v>
      </c>
      <c r="D37" s="83" t="s">
        <v>176</v>
      </c>
      <c r="E37" s="83" t="s">
        <v>177</v>
      </c>
      <c r="F37" s="83" t="s">
        <v>178</v>
      </c>
      <c r="G37" s="83" t="s">
        <v>179</v>
      </c>
      <c r="H37" s="83" t="s">
        <v>180</v>
      </c>
      <c r="I37" s="83" t="s">
        <v>181</v>
      </c>
      <c r="J37" s="83" t="s">
        <v>182</v>
      </c>
      <c r="K37" s="53" t="s">
        <v>195</v>
      </c>
      <c r="L37" s="53" t="s">
        <v>183</v>
      </c>
      <c r="M37" s="53" t="s">
        <v>184</v>
      </c>
      <c r="N37" s="53" t="s">
        <v>185</v>
      </c>
      <c r="O37" s="53" t="s">
        <v>186</v>
      </c>
      <c r="P37" s="53"/>
      <c r="Q37" s="53"/>
      <c r="R37" s="53"/>
      <c r="S37" s="53"/>
      <c r="T37" s="53"/>
      <c r="U37" s="53"/>
      <c r="Y37" s="88" t="s">
        <v>175</v>
      </c>
      <c r="Z37" s="88" t="s">
        <v>176</v>
      </c>
      <c r="AA37" s="88" t="s">
        <v>177</v>
      </c>
      <c r="AB37" s="88" t="s">
        <v>178</v>
      </c>
      <c r="AC37" s="88" t="s">
        <v>179</v>
      </c>
      <c r="AD37" s="88" t="s">
        <v>180</v>
      </c>
      <c r="AE37" s="88" t="s">
        <v>181</v>
      </c>
      <c r="AF37" s="88" t="s">
        <v>182</v>
      </c>
    </row>
    <row r="38" spans="1:33">
      <c r="A38" s="84"/>
      <c r="B38" s="84">
        <v>5</v>
      </c>
      <c r="C38" s="58"/>
      <c r="D38" s="58">
        <v>2.2042000000000002</v>
      </c>
      <c r="E38" s="58">
        <v>2.2046000000000001</v>
      </c>
      <c r="F38" s="58"/>
      <c r="G38" s="58"/>
      <c r="H38" s="58">
        <v>2.2044999999999999</v>
      </c>
      <c r="I38" s="58">
        <v>2.2042999999999999</v>
      </c>
      <c r="J38" s="58">
        <v>2.2042000000000002</v>
      </c>
      <c r="K38" s="58">
        <f t="shared" ref="K38:K44" si="199">MIN(C38:J38)</f>
        <v>2.2042000000000002</v>
      </c>
      <c r="L38" s="58">
        <f t="shared" ref="L38:L44" si="200">MAX(C38:J38)</f>
        <v>2.2046000000000001</v>
      </c>
      <c r="M38" s="58">
        <f t="shared" ref="M38:M44" si="201">MODE(C38:J38)</f>
        <v>2.2042000000000002</v>
      </c>
      <c r="N38" s="58">
        <f t="shared" ref="N38:N44" si="202">K38-M38</f>
        <v>0</v>
      </c>
      <c r="O38" s="58">
        <f t="shared" ref="O38:O44" si="203">L38-M38</f>
        <v>3.9999999999995595E-4</v>
      </c>
      <c r="P38" s="58"/>
      <c r="Q38" s="84" t="e">
        <f>IF(ISBLANK(C38),NA(),5)</f>
        <v>#N/A</v>
      </c>
      <c r="R38" s="84">
        <f t="shared" ref="R38:X38" si="204">IF(ISBLANK(D38),NA(),5)</f>
        <v>5</v>
      </c>
      <c r="S38" s="84">
        <f t="shared" si="204"/>
        <v>5</v>
      </c>
      <c r="T38" s="84" t="e">
        <f t="shared" si="204"/>
        <v>#N/A</v>
      </c>
      <c r="U38" s="84" t="e">
        <f t="shared" si="204"/>
        <v>#N/A</v>
      </c>
      <c r="V38" s="84">
        <f t="shared" si="204"/>
        <v>5</v>
      </c>
      <c r="W38" s="84">
        <f t="shared" si="204"/>
        <v>5</v>
      </c>
      <c r="X38" s="84">
        <f t="shared" si="204"/>
        <v>5</v>
      </c>
      <c r="Y38" s="58" t="e">
        <f t="shared" ref="Y38:AF38" si="205">IF(ISBLANK(C38),NA(),AVERAGE(C38,C44)-AVERAGE(C$38,C$44))</f>
        <v>#N/A</v>
      </c>
      <c r="Z38" s="58">
        <f t="shared" si="205"/>
        <v>0</v>
      </c>
      <c r="AA38" s="58">
        <f t="shared" si="205"/>
        <v>0</v>
      </c>
      <c r="AB38" s="58" t="e">
        <f t="shared" si="205"/>
        <v>#N/A</v>
      </c>
      <c r="AC38" s="58" t="e">
        <f t="shared" si="205"/>
        <v>#N/A</v>
      </c>
      <c r="AD38" s="58">
        <f t="shared" si="205"/>
        <v>0</v>
      </c>
      <c r="AE38" s="58">
        <f t="shared" si="205"/>
        <v>0</v>
      </c>
      <c r="AF38" s="58">
        <f t="shared" si="205"/>
        <v>0</v>
      </c>
    </row>
    <row r="39" spans="1:33">
      <c r="A39" s="84"/>
      <c r="B39" s="84">
        <v>19.75</v>
      </c>
      <c r="C39" s="58"/>
      <c r="D39" s="58">
        <v>2.2048000000000001</v>
      </c>
      <c r="E39" s="58">
        <v>2.2048000000000001</v>
      </c>
      <c r="F39" s="58"/>
      <c r="G39" s="58"/>
      <c r="H39" s="58">
        <v>2.2048000000000001</v>
      </c>
      <c r="I39" s="58">
        <v>2.2046999999999999</v>
      </c>
      <c r="J39" s="58">
        <v>2.2046000000000001</v>
      </c>
      <c r="K39" s="58">
        <f t="shared" si="199"/>
        <v>2.2046000000000001</v>
      </c>
      <c r="L39" s="58">
        <f t="shared" si="200"/>
        <v>2.2048000000000001</v>
      </c>
      <c r="M39" s="58">
        <f t="shared" si="201"/>
        <v>2.2048000000000001</v>
      </c>
      <c r="N39" s="58">
        <f t="shared" si="202"/>
        <v>-1.9999999999997797E-4</v>
      </c>
      <c r="O39" s="58">
        <f t="shared" si="203"/>
        <v>0</v>
      </c>
      <c r="P39" s="58"/>
      <c r="Q39" s="84" t="e">
        <f>IF(ISBLANK(C39),NA(),19.75)</f>
        <v>#N/A</v>
      </c>
      <c r="R39" s="84">
        <f t="shared" ref="R39:X39" si="206">IF(ISBLANK(D39),NA(),19.75)</f>
        <v>19.75</v>
      </c>
      <c r="S39" s="84">
        <f t="shared" si="206"/>
        <v>19.75</v>
      </c>
      <c r="T39" s="84" t="e">
        <f t="shared" si="206"/>
        <v>#N/A</v>
      </c>
      <c r="U39" s="84" t="e">
        <f t="shared" si="206"/>
        <v>#N/A</v>
      </c>
      <c r="V39" s="84">
        <f t="shared" si="206"/>
        <v>19.75</v>
      </c>
      <c r="W39" s="84">
        <f t="shared" si="206"/>
        <v>19.75</v>
      </c>
      <c r="X39" s="84">
        <f t="shared" si="206"/>
        <v>19.75</v>
      </c>
      <c r="Y39" s="58" t="e">
        <f t="shared" ref="Y39:AF39" si="207">IF(ISBLANK(C39),NA(),AVERAGE(C39,C43)-AVERAGE(C$38,C$44))</f>
        <v>#N/A</v>
      </c>
      <c r="Z39" s="58">
        <f t="shared" si="207"/>
        <v>3.9999999999995595E-4</v>
      </c>
      <c r="AA39" s="58">
        <f t="shared" si="207"/>
        <v>1.9999999999997797E-4</v>
      </c>
      <c r="AB39" s="58" t="e">
        <f t="shared" si="207"/>
        <v>#N/A</v>
      </c>
      <c r="AC39" s="58" t="e">
        <f t="shared" si="207"/>
        <v>#N/A</v>
      </c>
      <c r="AD39" s="58">
        <f t="shared" si="207"/>
        <v>2.4999999999986144E-4</v>
      </c>
      <c r="AE39" s="58">
        <f t="shared" si="207"/>
        <v>3.9999999999995595E-4</v>
      </c>
      <c r="AF39" s="58">
        <f t="shared" si="207"/>
        <v>4.4999999999983942E-4</v>
      </c>
    </row>
    <row r="40" spans="1:33">
      <c r="A40" s="84"/>
      <c r="B40" s="84">
        <v>45</v>
      </c>
      <c r="C40" s="58"/>
      <c r="D40" s="58">
        <v>2.2053500000000001</v>
      </c>
      <c r="E40" s="58">
        <v>2.2052</v>
      </c>
      <c r="F40" s="58"/>
      <c r="G40" s="58"/>
      <c r="H40" s="58">
        <v>2.2052</v>
      </c>
      <c r="I40" s="58">
        <v>2.2053500000000001</v>
      </c>
      <c r="J40" s="58">
        <v>2.2054</v>
      </c>
      <c r="K40" s="58">
        <f t="shared" si="199"/>
        <v>2.2052</v>
      </c>
      <c r="L40" s="58">
        <f t="shared" si="200"/>
        <v>2.2054</v>
      </c>
      <c r="M40" s="58">
        <f t="shared" si="201"/>
        <v>2.2053500000000001</v>
      </c>
      <c r="N40" s="58">
        <f t="shared" si="202"/>
        <v>-1.500000000000945E-4</v>
      </c>
      <c r="O40" s="58">
        <f t="shared" si="203"/>
        <v>4.9999999999883471E-5</v>
      </c>
      <c r="P40" s="58"/>
      <c r="Q40" s="84" t="e">
        <f>IF(ISBLANK(C40),NA(),45)</f>
        <v>#N/A</v>
      </c>
      <c r="R40" s="84">
        <f t="shared" ref="R40:X40" si="208">IF(ISBLANK(D40),NA(),45)</f>
        <v>45</v>
      </c>
      <c r="S40" s="84">
        <f t="shared" si="208"/>
        <v>45</v>
      </c>
      <c r="T40" s="84" t="e">
        <f t="shared" si="208"/>
        <v>#N/A</v>
      </c>
      <c r="U40" s="84" t="e">
        <f t="shared" si="208"/>
        <v>#N/A</v>
      </c>
      <c r="V40" s="84">
        <f t="shared" si="208"/>
        <v>45</v>
      </c>
      <c r="W40" s="84">
        <f t="shared" si="208"/>
        <v>45</v>
      </c>
      <c r="X40" s="84">
        <f t="shared" si="208"/>
        <v>45</v>
      </c>
      <c r="Y40" s="58" t="e">
        <f t="shared" ref="Y40:AF40" si="209">IF(ISBLANK(C40),NA(),AVERAGE(C40,C42)-AVERAGE(C$38,C$44))</f>
        <v>#N/A</v>
      </c>
      <c r="Z40" s="58">
        <f t="shared" si="209"/>
        <v>9.2500000000006466E-4</v>
      </c>
      <c r="AA40" s="58">
        <f t="shared" si="209"/>
        <v>5.4999999999960636E-4</v>
      </c>
      <c r="AB40" s="58" t="e">
        <f t="shared" si="209"/>
        <v>#N/A</v>
      </c>
      <c r="AC40" s="58" t="e">
        <f t="shared" si="209"/>
        <v>#N/A</v>
      </c>
      <c r="AD40" s="58">
        <f t="shared" si="209"/>
        <v>6.4999999999981739E-4</v>
      </c>
      <c r="AE40" s="58">
        <f t="shared" si="209"/>
        <v>9.2500000000050875E-4</v>
      </c>
      <c r="AF40" s="58">
        <f t="shared" si="209"/>
        <v>1.1999999999998678E-3</v>
      </c>
    </row>
    <row r="41" spans="1:33">
      <c r="A41" s="84"/>
      <c r="B41" s="84">
        <v>90</v>
      </c>
      <c r="C41" s="58"/>
      <c r="D41" s="58">
        <v>2.2054</v>
      </c>
      <c r="E41" s="58">
        <v>2.2053500000000001</v>
      </c>
      <c r="F41" s="58"/>
      <c r="G41" s="58"/>
      <c r="H41" s="58">
        <v>2.2052</v>
      </c>
      <c r="I41" s="58">
        <v>2.2055500000000001</v>
      </c>
      <c r="J41" s="58">
        <v>2.2056</v>
      </c>
      <c r="K41" s="58">
        <f t="shared" si="199"/>
        <v>2.2052</v>
      </c>
      <c r="L41" s="58">
        <f t="shared" si="200"/>
        <v>2.2056</v>
      </c>
      <c r="M41" s="58">
        <f>AVERAGE(C41:J41)</f>
        <v>2.2054200000000002</v>
      </c>
      <c r="N41" s="58">
        <f t="shared" si="202"/>
        <v>-2.20000000000109E-4</v>
      </c>
      <c r="O41" s="58">
        <f t="shared" si="203"/>
        <v>1.7999999999984695E-4</v>
      </c>
      <c r="P41" s="58"/>
      <c r="Q41" s="84" t="e">
        <f>IF(ISBLANK(C41),NA(),90)</f>
        <v>#N/A</v>
      </c>
      <c r="R41" s="84">
        <f t="shared" ref="R41:X41" si="210">IF(ISBLANK(D41),NA(),90)</f>
        <v>90</v>
      </c>
      <c r="S41" s="84">
        <f t="shared" si="210"/>
        <v>90</v>
      </c>
      <c r="T41" s="84" t="e">
        <f t="shared" si="210"/>
        <v>#N/A</v>
      </c>
      <c r="U41" s="84" t="e">
        <f t="shared" si="210"/>
        <v>#N/A</v>
      </c>
      <c r="V41" s="84">
        <f t="shared" si="210"/>
        <v>90</v>
      </c>
      <c r="W41" s="84">
        <f t="shared" si="210"/>
        <v>90</v>
      </c>
      <c r="X41" s="84">
        <f t="shared" si="210"/>
        <v>90</v>
      </c>
      <c r="Y41" s="58" t="e">
        <f t="shared" ref="Y41:AF41" si="211">IF(ISBLANK(C41),NA(),C41-AVERAGE(C$38,C$44))</f>
        <v>#N/A</v>
      </c>
      <c r="Z41" s="58">
        <f t="shared" si="211"/>
        <v>1.1000000000001009E-3</v>
      </c>
      <c r="AA41" s="58">
        <f t="shared" si="211"/>
        <v>7.5000000000002842E-4</v>
      </c>
      <c r="AB41" s="58" t="e">
        <f t="shared" si="211"/>
        <v>#N/A</v>
      </c>
      <c r="AC41" s="58" t="e">
        <f t="shared" si="211"/>
        <v>#N/A</v>
      </c>
      <c r="AD41" s="58">
        <f t="shared" si="211"/>
        <v>7.5000000000002842E-4</v>
      </c>
      <c r="AE41" s="58">
        <f t="shared" si="211"/>
        <v>1.2000000000003119E-3</v>
      </c>
      <c r="AF41" s="58">
        <f t="shared" si="211"/>
        <v>1.4999999999996128E-3</v>
      </c>
    </row>
    <row r="42" spans="1:33">
      <c r="A42" s="84"/>
      <c r="B42" s="84">
        <v>135</v>
      </c>
      <c r="C42" s="58"/>
      <c r="D42" s="58">
        <v>2.2050999999999998</v>
      </c>
      <c r="E42" s="58">
        <v>2.2050999999999998</v>
      </c>
      <c r="F42" s="58"/>
      <c r="G42" s="58"/>
      <c r="H42" s="58">
        <v>2.2050000000000001</v>
      </c>
      <c r="I42" s="58">
        <v>2.2052</v>
      </c>
      <c r="J42" s="58">
        <v>2.2052</v>
      </c>
      <c r="K42" s="58">
        <f t="shared" si="199"/>
        <v>2.2050000000000001</v>
      </c>
      <c r="L42" s="58">
        <f t="shared" si="200"/>
        <v>2.2052</v>
      </c>
      <c r="M42" s="58">
        <f t="shared" si="201"/>
        <v>2.2050999999999998</v>
      </c>
      <c r="N42" s="58">
        <f t="shared" si="202"/>
        <v>-9.9999999999766942E-5</v>
      </c>
      <c r="O42" s="58">
        <f t="shared" si="203"/>
        <v>1.0000000000021103E-4</v>
      </c>
      <c r="P42" s="58"/>
      <c r="Q42" s="84" t="e">
        <f>IF(ISBLANK(C42),NA(),135)</f>
        <v>#N/A</v>
      </c>
      <c r="R42" s="84">
        <f t="shared" ref="R42:X42" si="212">IF(ISBLANK(D42),NA(),135)</f>
        <v>135</v>
      </c>
      <c r="S42" s="84">
        <f t="shared" si="212"/>
        <v>135</v>
      </c>
      <c r="T42" s="84" t="e">
        <f t="shared" si="212"/>
        <v>#N/A</v>
      </c>
      <c r="U42" s="84" t="e">
        <f t="shared" si="212"/>
        <v>#N/A</v>
      </c>
      <c r="V42" s="84">
        <f t="shared" si="212"/>
        <v>135</v>
      </c>
      <c r="W42" s="84">
        <f t="shared" si="212"/>
        <v>135</v>
      </c>
      <c r="X42" s="84">
        <f t="shared" si="212"/>
        <v>135</v>
      </c>
      <c r="Y42" s="58" t="e">
        <f t="shared" ref="Y42:AF42" si="213">IF(ISBLANK(C42),NA(),AVERAGE(C40,C42)-AVERAGE(C$38,C$44))</f>
        <v>#N/A</v>
      </c>
      <c r="Z42" s="58">
        <f t="shared" si="213"/>
        <v>9.2500000000006466E-4</v>
      </c>
      <c r="AA42" s="58">
        <f t="shared" si="213"/>
        <v>5.4999999999960636E-4</v>
      </c>
      <c r="AB42" s="58" t="e">
        <f t="shared" si="213"/>
        <v>#N/A</v>
      </c>
      <c r="AC42" s="58" t="e">
        <f t="shared" si="213"/>
        <v>#N/A</v>
      </c>
      <c r="AD42" s="58">
        <f t="shared" si="213"/>
        <v>6.4999999999981739E-4</v>
      </c>
      <c r="AE42" s="58">
        <f t="shared" si="213"/>
        <v>9.2500000000050875E-4</v>
      </c>
      <c r="AF42" s="58">
        <f t="shared" si="213"/>
        <v>1.1999999999998678E-3</v>
      </c>
    </row>
    <row r="43" spans="1:33">
      <c r="A43" s="84"/>
      <c r="B43" s="84">
        <v>160.25</v>
      </c>
      <c r="C43" s="58"/>
      <c r="D43" s="58">
        <v>2.2046000000000001</v>
      </c>
      <c r="E43" s="58">
        <v>2.2048000000000001</v>
      </c>
      <c r="F43" s="58"/>
      <c r="G43" s="58"/>
      <c r="H43" s="58">
        <v>2.2046000000000001</v>
      </c>
      <c r="I43" s="58">
        <v>2.2048000000000001</v>
      </c>
      <c r="J43" s="58">
        <v>2.2044999999999999</v>
      </c>
      <c r="K43" s="58">
        <f t="shared" si="199"/>
        <v>2.2044999999999999</v>
      </c>
      <c r="L43" s="58">
        <f t="shared" si="200"/>
        <v>2.2048000000000001</v>
      </c>
      <c r="M43" s="58">
        <f t="shared" si="201"/>
        <v>2.2046000000000001</v>
      </c>
      <c r="N43" s="58">
        <f t="shared" si="202"/>
        <v>-1.0000000000021103E-4</v>
      </c>
      <c r="O43" s="58">
        <f t="shared" si="203"/>
        <v>1.9999999999997797E-4</v>
      </c>
      <c r="P43" s="58"/>
      <c r="Q43" s="84" t="e">
        <f>IF(ISBLANK(C43),NA(),160.25)</f>
        <v>#N/A</v>
      </c>
      <c r="R43" s="84">
        <f t="shared" ref="R43:X43" si="214">IF(ISBLANK(D43),NA(),160.25)</f>
        <v>160.25</v>
      </c>
      <c r="S43" s="84">
        <f t="shared" si="214"/>
        <v>160.25</v>
      </c>
      <c r="T43" s="84" t="e">
        <f t="shared" si="214"/>
        <v>#N/A</v>
      </c>
      <c r="U43" s="84" t="e">
        <f t="shared" si="214"/>
        <v>#N/A</v>
      </c>
      <c r="V43" s="84">
        <f t="shared" si="214"/>
        <v>160.25</v>
      </c>
      <c r="W43" s="84">
        <f t="shared" si="214"/>
        <v>160.25</v>
      </c>
      <c r="X43" s="84">
        <f t="shared" si="214"/>
        <v>160.25</v>
      </c>
      <c r="Y43" s="58" t="e">
        <f t="shared" ref="Y43:AF43" si="215">IF(ISBLANK(C43),NA(),AVERAGE(C39,C43)-AVERAGE(C$38,C$44))</f>
        <v>#N/A</v>
      </c>
      <c r="Z43" s="58">
        <f t="shared" si="215"/>
        <v>3.9999999999995595E-4</v>
      </c>
      <c r="AA43" s="58">
        <f t="shared" si="215"/>
        <v>1.9999999999997797E-4</v>
      </c>
      <c r="AB43" s="58" t="e">
        <f t="shared" si="215"/>
        <v>#N/A</v>
      </c>
      <c r="AC43" s="58" t="e">
        <f t="shared" si="215"/>
        <v>#N/A</v>
      </c>
      <c r="AD43" s="58">
        <f t="shared" si="215"/>
        <v>2.4999999999986144E-4</v>
      </c>
      <c r="AE43" s="58">
        <f t="shared" si="215"/>
        <v>3.9999999999995595E-4</v>
      </c>
      <c r="AF43" s="58">
        <f t="shared" si="215"/>
        <v>4.4999999999983942E-4</v>
      </c>
    </row>
    <row r="44" spans="1:33">
      <c r="A44" s="84"/>
      <c r="B44" s="84">
        <v>175</v>
      </c>
      <c r="C44" s="58"/>
      <c r="D44" s="58">
        <v>2.2044000000000001</v>
      </c>
      <c r="E44" s="58">
        <v>2.2046000000000001</v>
      </c>
      <c r="F44" s="58"/>
      <c r="G44" s="58"/>
      <c r="H44" s="58">
        <v>2.2044000000000001</v>
      </c>
      <c r="I44" s="58">
        <v>2.2044000000000001</v>
      </c>
      <c r="J44" s="58">
        <v>2.2040000000000002</v>
      </c>
      <c r="K44" s="58">
        <f t="shared" si="199"/>
        <v>2.2040000000000002</v>
      </c>
      <c r="L44" s="58">
        <f t="shared" si="200"/>
        <v>2.2046000000000001</v>
      </c>
      <c r="M44" s="58">
        <f t="shared" si="201"/>
        <v>2.2044000000000001</v>
      </c>
      <c r="N44" s="58">
        <f t="shared" si="202"/>
        <v>-3.9999999999995595E-4</v>
      </c>
      <c r="O44" s="58">
        <f t="shared" si="203"/>
        <v>1.9999999999997797E-4</v>
      </c>
      <c r="P44" s="58"/>
      <c r="Q44" s="84" t="e">
        <f>IF(ISBLANK(C44),NA(),175)</f>
        <v>#N/A</v>
      </c>
      <c r="R44" s="84">
        <f t="shared" ref="R44:X44" si="216">IF(ISBLANK(D44),NA(),175)</f>
        <v>175</v>
      </c>
      <c r="S44" s="84">
        <f t="shared" si="216"/>
        <v>175</v>
      </c>
      <c r="T44" s="84" t="e">
        <f t="shared" si="216"/>
        <v>#N/A</v>
      </c>
      <c r="U44" s="84" t="e">
        <f t="shared" si="216"/>
        <v>#N/A</v>
      </c>
      <c r="V44" s="84">
        <f t="shared" si="216"/>
        <v>175</v>
      </c>
      <c r="W44" s="84">
        <f t="shared" si="216"/>
        <v>175</v>
      </c>
      <c r="X44" s="84">
        <f t="shared" si="216"/>
        <v>175</v>
      </c>
      <c r="Y44" s="58" t="e">
        <f t="shared" ref="Y44:AF44" si="217">IF(ISBLANK(C44),NA(),AVERAGE(C38,C44)-AVERAGE(C$38,C$44))</f>
        <v>#N/A</v>
      </c>
      <c r="Z44" s="58">
        <f t="shared" si="217"/>
        <v>0</v>
      </c>
      <c r="AA44" s="58">
        <f t="shared" si="217"/>
        <v>0</v>
      </c>
      <c r="AB44" s="58" t="e">
        <f t="shared" si="217"/>
        <v>#N/A</v>
      </c>
      <c r="AC44" s="58" t="e">
        <f t="shared" si="217"/>
        <v>#N/A</v>
      </c>
      <c r="AD44" s="58">
        <f t="shared" si="217"/>
        <v>0</v>
      </c>
      <c r="AE44" s="58">
        <f t="shared" si="217"/>
        <v>0</v>
      </c>
      <c r="AF44" s="58">
        <f t="shared" si="217"/>
        <v>0</v>
      </c>
    </row>
    <row r="45" spans="1:33">
      <c r="P45" s="9" t="s">
        <v>367</v>
      </c>
      <c r="Q45" s="84" t="e">
        <f>IF(ISBLANK(C38),NA(),5)</f>
        <v>#N/A</v>
      </c>
      <c r="R45" s="84">
        <f t="shared" ref="R45:X45" si="218">IF(ISBLANK(D38),NA(),5)</f>
        <v>5</v>
      </c>
      <c r="S45" s="84">
        <f t="shared" si="218"/>
        <v>5</v>
      </c>
      <c r="T45" s="84" t="e">
        <f t="shared" si="218"/>
        <v>#N/A</v>
      </c>
      <c r="U45" s="84" t="e">
        <f t="shared" si="218"/>
        <v>#N/A</v>
      </c>
      <c r="V45" s="84">
        <f t="shared" si="218"/>
        <v>5</v>
      </c>
      <c r="W45" s="84">
        <f t="shared" si="218"/>
        <v>5</v>
      </c>
      <c r="X45" s="84">
        <f t="shared" si="218"/>
        <v>5</v>
      </c>
      <c r="Y45" s="58" t="e">
        <f>Y38-'Connecting Rod Bolts'!$AG34</f>
        <v>#N/A</v>
      </c>
      <c r="Z45" s="58">
        <f>Z38-'Connecting Rod Bolts'!$AG34</f>
        <v>0</v>
      </c>
      <c r="AA45" s="58">
        <f>AA38-'Connecting Rod Bolts'!$AG34</f>
        <v>0</v>
      </c>
      <c r="AB45" s="58" t="e">
        <f>AB38-'Connecting Rod Bolts'!$AG34</f>
        <v>#N/A</v>
      </c>
      <c r="AC45" s="58" t="e">
        <f>AC38-'Connecting Rod Bolts'!$AG34</f>
        <v>#N/A</v>
      </c>
      <c r="AD45" s="58">
        <f>AD38-'Connecting Rod Bolts'!$AG34</f>
        <v>0</v>
      </c>
      <c r="AE45" s="58">
        <f>AE38-'Connecting Rod Bolts'!$AG34</f>
        <v>0</v>
      </c>
      <c r="AF45" s="58">
        <f>AF38-'Connecting Rod Bolts'!$AG34</f>
        <v>0</v>
      </c>
      <c r="AG45" s="9" t="s">
        <v>367</v>
      </c>
    </row>
    <row r="46" spans="1:33">
      <c r="E46" s="9" t="str">
        <f>IF(ISBLANK(C4),"",AVERAGE(C4,C10)-AVERAGE(C$4,C$10))</f>
        <v/>
      </c>
      <c r="P46" s="9" t="s">
        <v>367</v>
      </c>
      <c r="Q46" s="84" t="e">
        <f>IF(ISBLANK(C39),NA(),19.75)</f>
        <v>#N/A</v>
      </c>
      <c r="R46" s="84">
        <f t="shared" ref="R46:X46" si="219">IF(ISBLANK(D39),NA(),19.75)</f>
        <v>19.75</v>
      </c>
      <c r="S46" s="84">
        <f t="shared" si="219"/>
        <v>19.75</v>
      </c>
      <c r="T46" s="84" t="e">
        <f t="shared" si="219"/>
        <v>#N/A</v>
      </c>
      <c r="U46" s="84" t="e">
        <f t="shared" si="219"/>
        <v>#N/A</v>
      </c>
      <c r="V46" s="84">
        <f t="shared" si="219"/>
        <v>19.75</v>
      </c>
      <c r="W46" s="84">
        <f t="shared" si="219"/>
        <v>19.75</v>
      </c>
      <c r="X46" s="84">
        <f t="shared" si="219"/>
        <v>19.75</v>
      </c>
      <c r="Y46" s="58" t="e">
        <f>Y39-'Connecting Rod Bolts'!$AG35</f>
        <v>#N/A</v>
      </c>
      <c r="Z46" s="58">
        <f>Z39-'Connecting Rod Bolts'!$AG35</f>
        <v>4.4062500000008331E-4</v>
      </c>
      <c r="AA46" s="58">
        <f>AA39-'Connecting Rod Bolts'!$AG35</f>
        <v>2.4062500000010534E-4</v>
      </c>
      <c r="AB46" s="58" t="e">
        <f>AB39-'Connecting Rod Bolts'!$AG35</f>
        <v>#N/A</v>
      </c>
      <c r="AC46" s="58" t="e">
        <f>AC39-'Connecting Rod Bolts'!$AG35</f>
        <v>#N/A</v>
      </c>
      <c r="AD46" s="58">
        <f>AD39-'Connecting Rod Bolts'!$AG35</f>
        <v>2.9062499999998881E-4</v>
      </c>
      <c r="AE46" s="58">
        <f>AE39-'Connecting Rod Bolts'!$AG35</f>
        <v>4.4062500000008331E-4</v>
      </c>
      <c r="AF46" s="58">
        <f>AF39-'Connecting Rod Bolts'!$AG35</f>
        <v>4.9062499999996678E-4</v>
      </c>
      <c r="AG46" s="9" t="s">
        <v>367</v>
      </c>
    </row>
    <row r="47" spans="1:33">
      <c r="P47" s="9" t="s">
        <v>367</v>
      </c>
      <c r="Q47" s="84" t="e">
        <f>IF(ISBLANK(C40),NA(),45)</f>
        <v>#N/A</v>
      </c>
      <c r="R47" s="84">
        <f t="shared" ref="R47:X47" si="220">IF(ISBLANK(D40),NA(),45)</f>
        <v>45</v>
      </c>
      <c r="S47" s="84">
        <f t="shared" si="220"/>
        <v>45</v>
      </c>
      <c r="T47" s="84" t="e">
        <f t="shared" si="220"/>
        <v>#N/A</v>
      </c>
      <c r="U47" s="84" t="e">
        <f t="shared" si="220"/>
        <v>#N/A</v>
      </c>
      <c r="V47" s="84">
        <f t="shared" si="220"/>
        <v>45</v>
      </c>
      <c r="W47" s="84">
        <f t="shared" si="220"/>
        <v>45</v>
      </c>
      <c r="X47" s="84">
        <f t="shared" si="220"/>
        <v>45</v>
      </c>
      <c r="Y47" s="58" t="e">
        <f>Y40-'Connecting Rod Bolts'!$AG36</f>
        <v>#N/A</v>
      </c>
      <c r="Z47" s="58">
        <f>Z40-'Connecting Rod Bolts'!$AG36</f>
        <v>1.0781250000000409E-3</v>
      </c>
      <c r="AA47" s="58">
        <f>AA40-'Connecting Rod Bolts'!$AG36</f>
        <v>7.0312499999958256E-4</v>
      </c>
      <c r="AB47" s="58" t="e">
        <f>AB40-'Connecting Rod Bolts'!$AG36</f>
        <v>#N/A</v>
      </c>
      <c r="AC47" s="58" t="e">
        <f>AC40-'Connecting Rod Bolts'!$AG36</f>
        <v>#N/A</v>
      </c>
      <c r="AD47" s="58">
        <f>AD40-'Connecting Rod Bolts'!$AG36</f>
        <v>8.0312499999979359E-4</v>
      </c>
      <c r="AE47" s="58">
        <f>AE40-'Connecting Rod Bolts'!$AG36</f>
        <v>1.0781250000004849E-3</v>
      </c>
      <c r="AF47" s="58">
        <f>AF40-'Connecting Rod Bolts'!$AG36</f>
        <v>1.353124999999844E-3</v>
      </c>
      <c r="AG47" s="9" t="s">
        <v>367</v>
      </c>
    </row>
    <row r="48" spans="1:33">
      <c r="P48" s="9" t="s">
        <v>367</v>
      </c>
      <c r="Q48" s="84" t="e">
        <f>IF(ISBLANK(C41),NA(),90)</f>
        <v>#N/A</v>
      </c>
      <c r="R48" s="84">
        <f t="shared" ref="R48:X48" si="221">IF(ISBLANK(D41),NA(),90)</f>
        <v>90</v>
      </c>
      <c r="S48" s="84">
        <f t="shared" si="221"/>
        <v>90</v>
      </c>
      <c r="T48" s="84" t="e">
        <f t="shared" si="221"/>
        <v>#N/A</v>
      </c>
      <c r="U48" s="84" t="e">
        <f t="shared" si="221"/>
        <v>#N/A</v>
      </c>
      <c r="V48" s="84">
        <f t="shared" si="221"/>
        <v>90</v>
      </c>
      <c r="W48" s="84">
        <f t="shared" si="221"/>
        <v>90</v>
      </c>
      <c r="X48" s="84">
        <f t="shared" si="221"/>
        <v>90</v>
      </c>
      <c r="Y48" s="58" t="e">
        <f>Y41-'Connecting Rod Bolts'!$AG37</f>
        <v>#N/A</v>
      </c>
      <c r="Z48" s="58">
        <f>Z41-'Connecting Rod Bolts'!$AG37</f>
        <v>1.3250000000000761E-3</v>
      </c>
      <c r="AA48" s="58">
        <f>AA41-'Connecting Rod Bolts'!$AG37</f>
        <v>9.7500000000000364E-4</v>
      </c>
      <c r="AB48" s="58" t="e">
        <f>AB41-'Connecting Rod Bolts'!$AG37</f>
        <v>#N/A</v>
      </c>
      <c r="AC48" s="58" t="e">
        <f>AC41-'Connecting Rod Bolts'!$AG37</f>
        <v>#N/A</v>
      </c>
      <c r="AD48" s="58">
        <f>AD41-'Connecting Rod Bolts'!$AG37</f>
        <v>9.7500000000000364E-4</v>
      </c>
      <c r="AE48" s="58">
        <f>AE41-'Connecting Rod Bolts'!$AG37</f>
        <v>1.4250000000002871E-3</v>
      </c>
      <c r="AF48" s="58">
        <f>AF41-'Connecting Rod Bolts'!$AG37</f>
        <v>1.724999999999588E-3</v>
      </c>
      <c r="AG48" s="9" t="s">
        <v>367</v>
      </c>
    </row>
    <row r="49" spans="1:33">
      <c r="P49" s="9" t="s">
        <v>367</v>
      </c>
      <c r="Q49" s="84" t="e">
        <f>IF(ISBLANK(C42),NA(),135)</f>
        <v>#N/A</v>
      </c>
      <c r="R49" s="84">
        <f t="shared" ref="R49:X49" si="222">IF(ISBLANK(D42),NA(),135)</f>
        <v>135</v>
      </c>
      <c r="S49" s="84">
        <f t="shared" si="222"/>
        <v>135</v>
      </c>
      <c r="T49" s="84" t="e">
        <f t="shared" si="222"/>
        <v>#N/A</v>
      </c>
      <c r="U49" s="84" t="e">
        <f t="shared" si="222"/>
        <v>#N/A</v>
      </c>
      <c r="V49" s="84">
        <f t="shared" si="222"/>
        <v>135</v>
      </c>
      <c r="W49" s="84">
        <f t="shared" si="222"/>
        <v>135</v>
      </c>
      <c r="X49" s="84">
        <f t="shared" si="222"/>
        <v>135</v>
      </c>
      <c r="Y49" s="58" t="e">
        <f>Y42-'Connecting Rod Bolts'!$AG38</f>
        <v>#N/A</v>
      </c>
      <c r="Z49" s="58">
        <f>Z42-'Connecting Rod Bolts'!$AG38</f>
        <v>1.0781250000000409E-3</v>
      </c>
      <c r="AA49" s="58">
        <f>AA42-'Connecting Rod Bolts'!$AG38</f>
        <v>7.0312499999958256E-4</v>
      </c>
      <c r="AB49" s="58" t="e">
        <f>AB42-'Connecting Rod Bolts'!$AG38</f>
        <v>#N/A</v>
      </c>
      <c r="AC49" s="58" t="e">
        <f>AC42-'Connecting Rod Bolts'!$AG38</f>
        <v>#N/A</v>
      </c>
      <c r="AD49" s="58">
        <f>AD42-'Connecting Rod Bolts'!$AG38</f>
        <v>8.0312499999979359E-4</v>
      </c>
      <c r="AE49" s="58">
        <f>AE42-'Connecting Rod Bolts'!$AG38</f>
        <v>1.0781250000004849E-3</v>
      </c>
      <c r="AF49" s="58">
        <f>AF42-'Connecting Rod Bolts'!$AG38</f>
        <v>1.353124999999844E-3</v>
      </c>
      <c r="AG49" s="9" t="s">
        <v>367</v>
      </c>
    </row>
    <row r="50" spans="1:33">
      <c r="P50" s="9" t="s">
        <v>367</v>
      </c>
      <c r="Q50" s="84" t="e">
        <f>IF(ISBLANK(C43),NA(),160.25)</f>
        <v>#N/A</v>
      </c>
      <c r="R50" s="84">
        <f t="shared" ref="R50:X50" si="223">IF(ISBLANK(D43),NA(),160.25)</f>
        <v>160.25</v>
      </c>
      <c r="S50" s="84">
        <f t="shared" si="223"/>
        <v>160.25</v>
      </c>
      <c r="T50" s="84" t="e">
        <f t="shared" si="223"/>
        <v>#N/A</v>
      </c>
      <c r="U50" s="84" t="e">
        <f t="shared" si="223"/>
        <v>#N/A</v>
      </c>
      <c r="V50" s="84">
        <f t="shared" si="223"/>
        <v>160.25</v>
      </c>
      <c r="W50" s="84">
        <f t="shared" si="223"/>
        <v>160.25</v>
      </c>
      <c r="X50" s="84">
        <f t="shared" si="223"/>
        <v>160.25</v>
      </c>
      <c r="Y50" s="58" t="e">
        <f>Y43-'Connecting Rod Bolts'!$AG39</f>
        <v>#N/A</v>
      </c>
      <c r="Z50" s="58">
        <f>Z43-'Connecting Rod Bolts'!$AG39</f>
        <v>4.4062500000008331E-4</v>
      </c>
      <c r="AA50" s="58">
        <f>AA43-'Connecting Rod Bolts'!$AG39</f>
        <v>2.4062500000010534E-4</v>
      </c>
      <c r="AB50" s="58" t="e">
        <f>AB43-'Connecting Rod Bolts'!$AG39</f>
        <v>#N/A</v>
      </c>
      <c r="AC50" s="58" t="e">
        <f>AC43-'Connecting Rod Bolts'!$AG39</f>
        <v>#N/A</v>
      </c>
      <c r="AD50" s="58">
        <f>AD43-'Connecting Rod Bolts'!$AG39</f>
        <v>2.9062499999998881E-4</v>
      </c>
      <c r="AE50" s="58">
        <f>AE43-'Connecting Rod Bolts'!$AG39</f>
        <v>4.4062500000008331E-4</v>
      </c>
      <c r="AF50" s="58">
        <f>AF43-'Connecting Rod Bolts'!$AG39</f>
        <v>4.9062499999996678E-4</v>
      </c>
      <c r="AG50" s="9" t="s">
        <v>367</v>
      </c>
    </row>
    <row r="51" spans="1:33">
      <c r="A51" s="58"/>
      <c r="C51" s="83"/>
      <c r="D51" s="83"/>
      <c r="E51" s="83"/>
      <c r="F51" s="83"/>
      <c r="G51" s="83"/>
      <c r="H51" s="83"/>
      <c r="I51" s="83"/>
      <c r="J51" s="83"/>
      <c r="K51" s="58"/>
      <c r="L51" s="58"/>
      <c r="M51" s="58"/>
      <c r="N51" s="58"/>
      <c r="O51" s="58"/>
      <c r="P51" s="9" t="s">
        <v>367</v>
      </c>
      <c r="Q51" s="84" t="e">
        <f>IF(ISBLANK(C44),NA(),175)</f>
        <v>#N/A</v>
      </c>
      <c r="R51" s="84">
        <f t="shared" ref="R51:X51" si="224">IF(ISBLANK(D44),NA(),175)</f>
        <v>175</v>
      </c>
      <c r="S51" s="84">
        <f t="shared" si="224"/>
        <v>175</v>
      </c>
      <c r="T51" s="84" t="e">
        <f t="shared" si="224"/>
        <v>#N/A</v>
      </c>
      <c r="U51" s="84" t="e">
        <f t="shared" si="224"/>
        <v>#N/A</v>
      </c>
      <c r="V51" s="84">
        <f t="shared" si="224"/>
        <v>175</v>
      </c>
      <c r="W51" s="84">
        <f t="shared" si="224"/>
        <v>175</v>
      </c>
      <c r="X51" s="84">
        <f t="shared" si="224"/>
        <v>175</v>
      </c>
      <c r="Y51" s="58" t="e">
        <f>Y44-'Connecting Rod Bolts'!$AG40</f>
        <v>#N/A</v>
      </c>
      <c r="Z51" s="58">
        <f>Z44-'Connecting Rod Bolts'!$AG40</f>
        <v>0</v>
      </c>
      <c r="AA51" s="58">
        <f>AA44-'Connecting Rod Bolts'!$AG40</f>
        <v>0</v>
      </c>
      <c r="AB51" s="58" t="e">
        <f>AB44-'Connecting Rod Bolts'!$AG40</f>
        <v>#N/A</v>
      </c>
      <c r="AC51" s="58" t="e">
        <f>AC44-'Connecting Rod Bolts'!$AG40</f>
        <v>#N/A</v>
      </c>
      <c r="AD51" s="58">
        <f>AD44-'Connecting Rod Bolts'!$AG40</f>
        <v>0</v>
      </c>
      <c r="AE51" s="58">
        <f>AE44-'Connecting Rod Bolts'!$AG40</f>
        <v>0</v>
      </c>
      <c r="AF51" s="58">
        <f>AF44-'Connecting Rod Bolts'!$AG40</f>
        <v>0</v>
      </c>
      <c r="AG51" s="9" t="s">
        <v>367</v>
      </c>
    </row>
    <row r="52" spans="1:33">
      <c r="C52" s="83"/>
      <c r="D52" s="83"/>
      <c r="E52" s="83"/>
      <c r="F52" s="83"/>
      <c r="G52" s="83"/>
      <c r="H52" s="83"/>
      <c r="I52" s="83"/>
      <c r="J52" s="83"/>
      <c r="K52" s="58"/>
      <c r="L52" s="58"/>
      <c r="M52" s="58"/>
      <c r="N52" s="58"/>
      <c r="O52" s="58"/>
      <c r="Q52" s="84"/>
      <c r="R52" s="84"/>
      <c r="S52" s="84"/>
      <c r="T52" s="84"/>
      <c r="U52" s="84"/>
      <c r="V52" s="84"/>
      <c r="W52" s="84"/>
      <c r="X52" s="84"/>
      <c r="Y52" s="58"/>
      <c r="Z52" s="58"/>
      <c r="AA52" s="58"/>
      <c r="AB52" s="58"/>
      <c r="AC52" s="58"/>
      <c r="AD52" s="58"/>
      <c r="AE52" s="58"/>
      <c r="AF52" s="58"/>
    </row>
    <row r="54" spans="1:33">
      <c r="A54" s="9" t="s">
        <v>403</v>
      </c>
      <c r="C54" s="83"/>
      <c r="D54" s="83"/>
      <c r="E54" s="83"/>
      <c r="F54" s="83"/>
      <c r="G54" s="83"/>
      <c r="H54" s="83"/>
      <c r="I54" s="83"/>
      <c r="J54" s="83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33">
      <c r="A55" s="58"/>
      <c r="B55" s="9" t="s">
        <v>241</v>
      </c>
      <c r="C55" s="58">
        <v>72.099999999999994</v>
      </c>
      <c r="D55" s="58">
        <v>72.2</v>
      </c>
      <c r="E55" s="58">
        <v>72.3</v>
      </c>
      <c r="F55" s="58">
        <v>71.8</v>
      </c>
      <c r="G55" s="58">
        <v>71.599999999999994</v>
      </c>
      <c r="H55" s="58">
        <v>72.3</v>
      </c>
      <c r="I55" s="58">
        <v>71.8</v>
      </c>
      <c r="J55" s="58">
        <v>72.3</v>
      </c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Y55" s="101" t="s">
        <v>270</v>
      </c>
      <c r="Z55" s="101"/>
      <c r="AA55" s="101"/>
      <c r="AB55" s="101"/>
      <c r="AC55" s="101"/>
      <c r="AD55" s="101"/>
      <c r="AE55" s="101"/>
      <c r="AF55" s="101"/>
    </row>
    <row r="56" spans="1:33">
      <c r="A56" s="58"/>
      <c r="B56" s="9" t="s">
        <v>364</v>
      </c>
      <c r="C56" s="83" t="s">
        <v>175</v>
      </c>
      <c r="D56" s="83" t="s">
        <v>176</v>
      </c>
      <c r="E56" s="83" t="s">
        <v>177</v>
      </c>
      <c r="F56" s="83" t="s">
        <v>178</v>
      </c>
      <c r="G56" s="83" t="s">
        <v>179</v>
      </c>
      <c r="H56" s="83" t="s">
        <v>180</v>
      </c>
      <c r="I56" s="83" t="s">
        <v>181</v>
      </c>
      <c r="J56" s="83" t="s">
        <v>182</v>
      </c>
      <c r="K56" s="53" t="s">
        <v>195</v>
      </c>
      <c r="L56" s="53" t="s">
        <v>183</v>
      </c>
      <c r="M56" s="53" t="s">
        <v>184</v>
      </c>
      <c r="N56" s="53" t="s">
        <v>185</v>
      </c>
      <c r="O56" s="53" t="s">
        <v>186</v>
      </c>
      <c r="P56" s="53"/>
      <c r="Q56" s="88" t="s">
        <v>175</v>
      </c>
      <c r="R56" s="88" t="s">
        <v>176</v>
      </c>
      <c r="S56" s="88" t="s">
        <v>177</v>
      </c>
      <c r="T56" s="88" t="s">
        <v>178</v>
      </c>
      <c r="U56" s="88" t="s">
        <v>179</v>
      </c>
      <c r="V56" s="88" t="s">
        <v>180</v>
      </c>
      <c r="W56" s="88" t="s">
        <v>181</v>
      </c>
      <c r="X56" s="88" t="s">
        <v>182</v>
      </c>
      <c r="Y56" s="88" t="s">
        <v>175</v>
      </c>
      <c r="Z56" s="88" t="s">
        <v>176</v>
      </c>
      <c r="AA56" s="88" t="s">
        <v>177</v>
      </c>
      <c r="AB56" s="88" t="s">
        <v>178</v>
      </c>
      <c r="AC56" s="88" t="s">
        <v>179</v>
      </c>
      <c r="AD56" s="88" t="s">
        <v>180</v>
      </c>
      <c r="AE56" s="88" t="s">
        <v>181</v>
      </c>
      <c r="AF56" s="88" t="s">
        <v>182</v>
      </c>
    </row>
    <row r="57" spans="1:33">
      <c r="A57" s="84"/>
      <c r="B57" s="84">
        <v>5</v>
      </c>
      <c r="C57" s="58"/>
      <c r="D57" s="58">
        <v>2.2044000000000001</v>
      </c>
      <c r="E57" s="58">
        <v>2.2046000000000001</v>
      </c>
      <c r="F57" s="58"/>
      <c r="G57" s="58"/>
      <c r="H57" s="58">
        <v>2.2046000000000001</v>
      </c>
      <c r="I57" s="58">
        <v>2.2044999999999999</v>
      </c>
      <c r="J57" s="58">
        <v>2.2042999999999999</v>
      </c>
      <c r="K57" s="58">
        <f t="shared" ref="K57:K63" si="225">MIN(C57:J57)</f>
        <v>2.2042999999999999</v>
      </c>
      <c r="L57" s="58">
        <f t="shared" ref="L57:L63" si="226">MAX(C57:J57)</f>
        <v>2.2046000000000001</v>
      </c>
      <c r="M57" s="58">
        <f t="shared" ref="M57:M62" si="227">MODE(C57:J57)</f>
        <v>2.2046000000000001</v>
      </c>
      <c r="N57" s="58">
        <f t="shared" ref="N57:N63" si="228">K57-M57</f>
        <v>-3.00000000000189E-4</v>
      </c>
      <c r="O57" s="58">
        <f t="shared" ref="O57:O63" si="229">L57-M57</f>
        <v>0</v>
      </c>
      <c r="P57" s="58"/>
      <c r="Q57" s="84" t="e">
        <f>IF(ISBLANK(C57),NA(),5)</f>
        <v>#N/A</v>
      </c>
      <c r="R57" s="84">
        <f t="shared" ref="R57:X57" si="230">IF(ISBLANK(D57),NA(),5)</f>
        <v>5</v>
      </c>
      <c r="S57" s="84">
        <f t="shared" si="230"/>
        <v>5</v>
      </c>
      <c r="T57" s="84" t="e">
        <f t="shared" si="230"/>
        <v>#N/A</v>
      </c>
      <c r="U57" s="84" t="e">
        <f t="shared" si="230"/>
        <v>#N/A</v>
      </c>
      <c r="V57" s="84">
        <f t="shared" si="230"/>
        <v>5</v>
      </c>
      <c r="W57" s="84">
        <f t="shared" si="230"/>
        <v>5</v>
      </c>
      <c r="X57" s="84">
        <f t="shared" si="230"/>
        <v>5</v>
      </c>
      <c r="Y57" s="58" t="e">
        <f>IF(ISBLANK(C57),NA(),AVERAGE(C57,C63)-AVERAGE(C$57,C$63))</f>
        <v>#N/A</v>
      </c>
      <c r="Z57" s="58">
        <f t="shared" ref="Z57:AF57" si="231">IF(ISBLANK(D57),NA(),AVERAGE(D57,D63)-AVERAGE(D$57,D$63))</f>
        <v>0</v>
      </c>
      <c r="AA57" s="58">
        <f t="shared" si="231"/>
        <v>0</v>
      </c>
      <c r="AB57" s="58" t="e">
        <f t="shared" si="231"/>
        <v>#N/A</v>
      </c>
      <c r="AC57" s="58" t="e">
        <f t="shared" si="231"/>
        <v>#N/A</v>
      </c>
      <c r="AD57" s="58">
        <f t="shared" si="231"/>
        <v>0</v>
      </c>
      <c r="AE57" s="58">
        <f t="shared" si="231"/>
        <v>0</v>
      </c>
      <c r="AF57" s="58">
        <f t="shared" si="231"/>
        <v>0</v>
      </c>
    </row>
    <row r="58" spans="1:33">
      <c r="A58" s="84"/>
      <c r="B58" s="84">
        <v>19.75</v>
      </c>
      <c r="C58" s="58"/>
      <c r="D58" s="58">
        <v>2.2047500000000002</v>
      </c>
      <c r="E58" s="58">
        <v>2.2047500000000002</v>
      </c>
      <c r="F58" s="58"/>
      <c r="G58" s="58"/>
      <c r="H58" s="58">
        <v>2.20485</v>
      </c>
      <c r="I58" s="58">
        <v>2.2047500000000002</v>
      </c>
      <c r="J58" s="58">
        <v>2.2046000000000001</v>
      </c>
      <c r="K58" s="58">
        <f t="shared" si="225"/>
        <v>2.2046000000000001</v>
      </c>
      <c r="L58" s="58">
        <f t="shared" si="226"/>
        <v>2.20485</v>
      </c>
      <c r="M58" s="58">
        <f t="shared" si="227"/>
        <v>2.2047500000000002</v>
      </c>
      <c r="N58" s="58">
        <f t="shared" si="228"/>
        <v>-1.500000000000945E-4</v>
      </c>
      <c r="O58" s="58">
        <f t="shared" si="229"/>
        <v>9.9999999999766942E-5</v>
      </c>
      <c r="P58" s="58"/>
      <c r="Q58" s="84" t="e">
        <f>IF(ISBLANK(C58),NA(),19.25)</f>
        <v>#N/A</v>
      </c>
      <c r="R58" s="84">
        <f t="shared" ref="R58:X58" si="232">IF(ISBLANK(D58),NA(),19.25)</f>
        <v>19.25</v>
      </c>
      <c r="S58" s="84">
        <f t="shared" si="232"/>
        <v>19.25</v>
      </c>
      <c r="T58" s="84" t="e">
        <f t="shared" si="232"/>
        <v>#N/A</v>
      </c>
      <c r="U58" s="84" t="e">
        <f t="shared" si="232"/>
        <v>#N/A</v>
      </c>
      <c r="V58" s="84">
        <f t="shared" si="232"/>
        <v>19.25</v>
      </c>
      <c r="W58" s="84">
        <f t="shared" si="232"/>
        <v>19.25</v>
      </c>
      <c r="X58" s="84">
        <f t="shared" si="232"/>
        <v>19.25</v>
      </c>
      <c r="Y58" s="58" t="e">
        <f>IF(ISBLANK(C58),NA(),AVERAGE(C58,C62)-AVERAGE(C$57,C$63))</f>
        <v>#N/A</v>
      </c>
      <c r="Z58" s="58">
        <f t="shared" ref="Z58:AF58" si="233">IF(ISBLANK(D58),NA(),AVERAGE(D58,D62)-AVERAGE(D$57,D$63))</f>
        <v>2.7500000000024727E-4</v>
      </c>
      <c r="AA58" s="58">
        <f t="shared" si="233"/>
        <v>1.2499999999970868E-4</v>
      </c>
      <c r="AB58" s="58" t="e">
        <f t="shared" si="233"/>
        <v>#N/A</v>
      </c>
      <c r="AC58" s="58" t="e">
        <f t="shared" si="233"/>
        <v>#N/A</v>
      </c>
      <c r="AD58" s="58">
        <f t="shared" si="233"/>
        <v>1.7499999999959215E-4</v>
      </c>
      <c r="AE58" s="58">
        <f t="shared" si="233"/>
        <v>2.7499999999980318E-4</v>
      </c>
      <c r="AF58" s="58">
        <f t="shared" si="233"/>
        <v>2.7500000000024727E-4</v>
      </c>
    </row>
    <row r="59" spans="1:33">
      <c r="A59" s="84"/>
      <c r="B59" s="84">
        <v>45</v>
      </c>
      <c r="C59" s="58"/>
      <c r="D59" s="58">
        <v>2.2050000000000001</v>
      </c>
      <c r="E59" s="58">
        <v>2.2048999999999999</v>
      </c>
      <c r="F59" s="58"/>
      <c r="G59" s="58"/>
      <c r="H59" s="58">
        <v>2.2050000000000001</v>
      </c>
      <c r="I59" s="58">
        <v>2.2051500000000002</v>
      </c>
      <c r="J59" s="58">
        <v>2.2050000000000001</v>
      </c>
      <c r="K59" s="58">
        <f t="shared" si="225"/>
        <v>2.2048999999999999</v>
      </c>
      <c r="L59" s="58">
        <f t="shared" si="226"/>
        <v>2.2051500000000002</v>
      </c>
      <c r="M59" s="58">
        <f t="shared" si="227"/>
        <v>2.2050000000000001</v>
      </c>
      <c r="N59" s="58">
        <f t="shared" si="228"/>
        <v>-1.0000000000021103E-4</v>
      </c>
      <c r="O59" s="58">
        <f t="shared" si="229"/>
        <v>1.500000000000945E-4</v>
      </c>
      <c r="P59" s="58"/>
      <c r="Q59" s="84" t="e">
        <f>IF(ISBLANK(C59),NA(),45)</f>
        <v>#N/A</v>
      </c>
      <c r="R59" s="84">
        <f t="shared" ref="R59:X59" si="234">IF(ISBLANK(D59),NA(),45)</f>
        <v>45</v>
      </c>
      <c r="S59" s="84">
        <f t="shared" si="234"/>
        <v>45</v>
      </c>
      <c r="T59" s="84" t="e">
        <f t="shared" si="234"/>
        <v>#N/A</v>
      </c>
      <c r="U59" s="84" t="e">
        <f t="shared" si="234"/>
        <v>#N/A</v>
      </c>
      <c r="V59" s="84">
        <f t="shared" si="234"/>
        <v>45</v>
      </c>
      <c r="W59" s="84">
        <f t="shared" si="234"/>
        <v>45</v>
      </c>
      <c r="X59" s="84">
        <f t="shared" si="234"/>
        <v>45</v>
      </c>
      <c r="Y59" s="58" t="e">
        <f>IF(ISBLANK(C59),NA(),AVERAGE(C59,C61)-AVERAGE(C$57,C$63))</f>
        <v>#N/A</v>
      </c>
      <c r="Z59" s="58">
        <f t="shared" ref="Z59:AF59" si="235">IF(ISBLANK(D59),NA(),AVERAGE(D59,D61)-AVERAGE(D$57,D$63))</f>
        <v>6.2500000000031974E-4</v>
      </c>
      <c r="AA59" s="58">
        <f t="shared" si="235"/>
        <v>2.2499999999991971E-4</v>
      </c>
      <c r="AB59" s="58" t="e">
        <f t="shared" si="235"/>
        <v>#N/A</v>
      </c>
      <c r="AC59" s="58" t="e">
        <f t="shared" si="235"/>
        <v>#N/A</v>
      </c>
      <c r="AD59" s="58">
        <f t="shared" si="235"/>
        <v>3.9999999999995595E-4</v>
      </c>
      <c r="AE59" s="58">
        <f t="shared" si="235"/>
        <v>5.7499999999999218E-4</v>
      </c>
      <c r="AF59" s="58">
        <f t="shared" si="235"/>
        <v>6.7500000000020322E-4</v>
      </c>
    </row>
    <row r="60" spans="1:33">
      <c r="A60" s="84"/>
      <c r="B60" s="84">
        <v>90</v>
      </c>
      <c r="C60" s="58"/>
      <c r="D60" s="58">
        <v>2.2051500000000002</v>
      </c>
      <c r="E60" s="58">
        <v>2.2048000000000001</v>
      </c>
      <c r="F60" s="58"/>
      <c r="G60" s="58"/>
      <c r="H60" s="58">
        <v>2.2049500000000002</v>
      </c>
      <c r="I60" s="58">
        <v>2.2052</v>
      </c>
      <c r="J60" s="58">
        <v>2.2052</v>
      </c>
      <c r="K60" s="58">
        <f t="shared" si="225"/>
        <v>2.2048000000000001</v>
      </c>
      <c r="L60" s="58">
        <f t="shared" si="226"/>
        <v>2.2052</v>
      </c>
      <c r="M60" s="58">
        <f t="shared" si="227"/>
        <v>2.2052</v>
      </c>
      <c r="N60" s="58">
        <f t="shared" si="228"/>
        <v>-3.9999999999995595E-4</v>
      </c>
      <c r="O60" s="58">
        <f t="shared" si="229"/>
        <v>0</v>
      </c>
      <c r="P60" s="58"/>
      <c r="Q60" s="84" t="e">
        <f>IF(ISBLANK(C60),NA(),90)</f>
        <v>#N/A</v>
      </c>
      <c r="R60" s="84">
        <f t="shared" ref="R60:X60" si="236">IF(ISBLANK(D60),NA(),90)</f>
        <v>90</v>
      </c>
      <c r="S60" s="84">
        <f t="shared" si="236"/>
        <v>90</v>
      </c>
      <c r="T60" s="84" t="e">
        <f t="shared" si="236"/>
        <v>#N/A</v>
      </c>
      <c r="U60" s="84" t="e">
        <f t="shared" si="236"/>
        <v>#N/A</v>
      </c>
      <c r="V60" s="84">
        <f t="shared" si="236"/>
        <v>90</v>
      </c>
      <c r="W60" s="84">
        <f t="shared" si="236"/>
        <v>90</v>
      </c>
      <c r="X60" s="84">
        <f t="shared" si="236"/>
        <v>90</v>
      </c>
      <c r="Y60" s="58" t="e">
        <f>IF(ISBLANK(C60),NA(),C60-AVERAGE(C$57,C$63))</f>
        <v>#N/A</v>
      </c>
      <c r="Z60" s="58">
        <f t="shared" ref="Z60:AF60" si="237">IF(ISBLANK(D60),NA(),D60-AVERAGE(D$57,D$63))</f>
        <v>8.0000000000035598E-4</v>
      </c>
      <c r="AA60" s="58">
        <f t="shared" si="237"/>
        <v>1.9999999999997797E-4</v>
      </c>
      <c r="AB60" s="58" t="e">
        <f t="shared" si="237"/>
        <v>#N/A</v>
      </c>
      <c r="AC60" s="58" t="e">
        <f t="shared" si="237"/>
        <v>#N/A</v>
      </c>
      <c r="AD60" s="58">
        <f t="shared" si="237"/>
        <v>3.9999999999995595E-4</v>
      </c>
      <c r="AE60" s="58">
        <f t="shared" si="237"/>
        <v>7.5000000000002842E-4</v>
      </c>
      <c r="AF60" s="58">
        <f t="shared" si="237"/>
        <v>9.5000000000000639E-4</v>
      </c>
    </row>
    <row r="61" spans="1:33">
      <c r="A61" s="84"/>
      <c r="B61" s="84">
        <v>135</v>
      </c>
      <c r="C61" s="58"/>
      <c r="D61" s="58">
        <v>2.2049500000000002</v>
      </c>
      <c r="E61" s="58">
        <v>2.2047500000000002</v>
      </c>
      <c r="F61" s="58"/>
      <c r="G61" s="58"/>
      <c r="H61" s="58">
        <v>2.2048999999999999</v>
      </c>
      <c r="I61" s="58">
        <v>2.2048999999999999</v>
      </c>
      <c r="J61" s="58">
        <v>2.20485</v>
      </c>
      <c r="K61" s="58">
        <f t="shared" si="225"/>
        <v>2.2047500000000002</v>
      </c>
      <c r="L61" s="58">
        <f t="shared" si="226"/>
        <v>2.2049500000000002</v>
      </c>
      <c r="M61" s="58">
        <f t="shared" si="227"/>
        <v>2.2048999999999999</v>
      </c>
      <c r="N61" s="58">
        <f t="shared" si="228"/>
        <v>-1.4999999999965041E-4</v>
      </c>
      <c r="O61" s="58">
        <f t="shared" si="229"/>
        <v>5.000000000032756E-5</v>
      </c>
      <c r="P61" s="58"/>
      <c r="Q61" s="84" t="e">
        <f>IF(ISBLANK(C61),NA(),135)</f>
        <v>#N/A</v>
      </c>
      <c r="R61" s="84">
        <f t="shared" ref="R61:X61" si="238">IF(ISBLANK(D61),NA(),135)</f>
        <v>135</v>
      </c>
      <c r="S61" s="84">
        <f t="shared" si="238"/>
        <v>135</v>
      </c>
      <c r="T61" s="84" t="e">
        <f t="shared" si="238"/>
        <v>#N/A</v>
      </c>
      <c r="U61" s="84" t="e">
        <f t="shared" si="238"/>
        <v>#N/A</v>
      </c>
      <c r="V61" s="84">
        <f t="shared" si="238"/>
        <v>135</v>
      </c>
      <c r="W61" s="84">
        <f t="shared" si="238"/>
        <v>135</v>
      </c>
      <c r="X61" s="84">
        <f t="shared" si="238"/>
        <v>135</v>
      </c>
      <c r="Y61" s="58" t="e">
        <f>IF(ISBLANK(C61),NA(),AVERAGE(C59,C61)-AVERAGE(C$57,C$63))</f>
        <v>#N/A</v>
      </c>
      <c r="Z61" s="58">
        <f t="shared" ref="Z61:AF61" si="239">IF(ISBLANK(D61),NA(),AVERAGE(D59,D61)-AVERAGE(D$57,D$63))</f>
        <v>6.2500000000031974E-4</v>
      </c>
      <c r="AA61" s="58">
        <f t="shared" si="239"/>
        <v>2.2499999999991971E-4</v>
      </c>
      <c r="AB61" s="58" t="e">
        <f t="shared" si="239"/>
        <v>#N/A</v>
      </c>
      <c r="AC61" s="58" t="e">
        <f t="shared" si="239"/>
        <v>#N/A</v>
      </c>
      <c r="AD61" s="58">
        <f t="shared" si="239"/>
        <v>3.9999999999995595E-4</v>
      </c>
      <c r="AE61" s="58">
        <f t="shared" si="239"/>
        <v>5.7499999999999218E-4</v>
      </c>
      <c r="AF61" s="58">
        <f t="shared" si="239"/>
        <v>6.7500000000020322E-4</v>
      </c>
    </row>
    <row r="62" spans="1:33">
      <c r="A62" s="84"/>
      <c r="B62" s="84">
        <v>160.25</v>
      </c>
      <c r="C62" s="58"/>
      <c r="D62" s="58">
        <v>2.2044999999999999</v>
      </c>
      <c r="E62" s="58">
        <v>2.2046999999999999</v>
      </c>
      <c r="F62" s="58"/>
      <c r="G62" s="58"/>
      <c r="H62" s="58">
        <v>2.2046000000000001</v>
      </c>
      <c r="I62" s="58">
        <v>2.2046999999999999</v>
      </c>
      <c r="J62" s="58">
        <v>2.20445</v>
      </c>
      <c r="K62" s="58">
        <f t="shared" si="225"/>
        <v>2.20445</v>
      </c>
      <c r="L62" s="58">
        <f t="shared" si="226"/>
        <v>2.2046999999999999</v>
      </c>
      <c r="M62" s="58">
        <f t="shared" si="227"/>
        <v>2.2046999999999999</v>
      </c>
      <c r="N62" s="58">
        <f t="shared" si="228"/>
        <v>-2.4999999999986144E-4</v>
      </c>
      <c r="O62" s="58">
        <f t="shared" si="229"/>
        <v>0</v>
      </c>
      <c r="P62" s="58"/>
      <c r="Q62" s="84" t="e">
        <f>IF(ISBLANK(C62),NA(),160.25)</f>
        <v>#N/A</v>
      </c>
      <c r="R62" s="84">
        <f t="shared" ref="R62:X62" si="240">IF(ISBLANK(D62),NA(),160.25)</f>
        <v>160.25</v>
      </c>
      <c r="S62" s="84">
        <f t="shared" si="240"/>
        <v>160.25</v>
      </c>
      <c r="T62" s="84" t="e">
        <f t="shared" si="240"/>
        <v>#N/A</v>
      </c>
      <c r="U62" s="84" t="e">
        <f t="shared" si="240"/>
        <v>#N/A</v>
      </c>
      <c r="V62" s="84">
        <f t="shared" si="240"/>
        <v>160.25</v>
      </c>
      <c r="W62" s="84">
        <f t="shared" si="240"/>
        <v>160.25</v>
      </c>
      <c r="X62" s="84">
        <f t="shared" si="240"/>
        <v>160.25</v>
      </c>
      <c r="Y62" s="58" t="e">
        <f>IF(ISBLANK(C62),NA(),AVERAGE(C58,C62)-AVERAGE(C$57,C$63))</f>
        <v>#N/A</v>
      </c>
      <c r="Z62" s="58">
        <f t="shared" ref="Z62:AF62" si="241">IF(ISBLANK(D62),NA(),AVERAGE(D58,D62)-AVERAGE(D$57,D$63))</f>
        <v>2.7500000000024727E-4</v>
      </c>
      <c r="AA62" s="58">
        <f t="shared" si="241"/>
        <v>1.2499999999970868E-4</v>
      </c>
      <c r="AB62" s="58" t="e">
        <f t="shared" si="241"/>
        <v>#N/A</v>
      </c>
      <c r="AC62" s="58" t="e">
        <f t="shared" si="241"/>
        <v>#N/A</v>
      </c>
      <c r="AD62" s="58">
        <f t="shared" si="241"/>
        <v>1.7499999999959215E-4</v>
      </c>
      <c r="AE62" s="58">
        <f t="shared" si="241"/>
        <v>2.7499999999980318E-4</v>
      </c>
      <c r="AF62" s="58">
        <f t="shared" si="241"/>
        <v>2.7500000000024727E-4</v>
      </c>
    </row>
    <row r="63" spans="1:33">
      <c r="A63" s="84"/>
      <c r="B63" s="84">
        <v>175</v>
      </c>
      <c r="C63" s="58"/>
      <c r="D63" s="58">
        <v>2.2042999999999999</v>
      </c>
      <c r="E63" s="58">
        <v>2.2046000000000001</v>
      </c>
      <c r="F63" s="58"/>
      <c r="G63" s="58"/>
      <c r="H63" s="58">
        <v>2.2044999999999999</v>
      </c>
      <c r="I63" s="58">
        <v>2.2044000000000001</v>
      </c>
      <c r="J63" s="58">
        <v>2.2042000000000002</v>
      </c>
      <c r="K63" s="58">
        <f t="shared" si="225"/>
        <v>2.2042000000000002</v>
      </c>
      <c r="L63" s="58">
        <f t="shared" si="226"/>
        <v>2.2046000000000001</v>
      </c>
      <c r="M63" s="58">
        <f>AVERAGE(C63:J63)</f>
        <v>2.2044000000000001</v>
      </c>
      <c r="N63" s="58">
        <f t="shared" si="228"/>
        <v>-1.9999999999997797E-4</v>
      </c>
      <c r="O63" s="58">
        <f t="shared" si="229"/>
        <v>1.9999999999997797E-4</v>
      </c>
      <c r="P63" s="58"/>
      <c r="Q63" s="84" t="e">
        <f>IF(ISBLANK(C63),NA(),175)</f>
        <v>#N/A</v>
      </c>
      <c r="R63" s="84">
        <f t="shared" ref="R63:X63" si="242">IF(ISBLANK(D63),NA(),175)</f>
        <v>175</v>
      </c>
      <c r="S63" s="84">
        <f t="shared" si="242"/>
        <v>175</v>
      </c>
      <c r="T63" s="84" t="e">
        <f t="shared" si="242"/>
        <v>#N/A</v>
      </c>
      <c r="U63" s="84" t="e">
        <f t="shared" si="242"/>
        <v>#N/A</v>
      </c>
      <c r="V63" s="84">
        <f t="shared" si="242"/>
        <v>175</v>
      </c>
      <c r="W63" s="84">
        <f t="shared" si="242"/>
        <v>175</v>
      </c>
      <c r="X63" s="84">
        <f t="shared" si="242"/>
        <v>175</v>
      </c>
      <c r="Y63" s="58" t="e">
        <f>IF(ISBLANK(C63),NA(),AVERAGE(C57,C63)-AVERAGE(C$57,C$63))</f>
        <v>#N/A</v>
      </c>
      <c r="Z63" s="58">
        <f t="shared" ref="Z63:AF63" si="243">IF(ISBLANK(D63),NA(),AVERAGE(D57,D63)-AVERAGE(D$57,D$63))</f>
        <v>0</v>
      </c>
      <c r="AA63" s="58">
        <f t="shared" si="243"/>
        <v>0</v>
      </c>
      <c r="AB63" s="58" t="e">
        <f t="shared" si="243"/>
        <v>#N/A</v>
      </c>
      <c r="AC63" s="58" t="e">
        <f t="shared" si="243"/>
        <v>#N/A</v>
      </c>
      <c r="AD63" s="58">
        <f t="shared" si="243"/>
        <v>0</v>
      </c>
      <c r="AE63" s="58">
        <f t="shared" si="243"/>
        <v>0</v>
      </c>
      <c r="AF63" s="58">
        <f t="shared" si="243"/>
        <v>0</v>
      </c>
    </row>
    <row r="64" spans="1:33">
      <c r="P64" s="9" t="s">
        <v>367</v>
      </c>
      <c r="Q64" s="84" t="e">
        <f>IF(ISBLANK(C57),NA(),5)</f>
        <v>#N/A</v>
      </c>
      <c r="R64" s="84">
        <f t="shared" ref="R64:X64" si="244">IF(ISBLANK(D57),NA(),5)</f>
        <v>5</v>
      </c>
      <c r="S64" s="84">
        <f t="shared" si="244"/>
        <v>5</v>
      </c>
      <c r="T64" s="84" t="e">
        <f t="shared" si="244"/>
        <v>#N/A</v>
      </c>
      <c r="U64" s="84" t="e">
        <f t="shared" si="244"/>
        <v>#N/A</v>
      </c>
      <c r="V64" s="84">
        <f t="shared" si="244"/>
        <v>5</v>
      </c>
      <c r="W64" s="84">
        <f t="shared" si="244"/>
        <v>5</v>
      </c>
      <c r="X64" s="84">
        <f t="shared" si="244"/>
        <v>5</v>
      </c>
      <c r="Y64" s="58" t="e">
        <f>Y57-'Connecting Rod Bolts'!$AG34</f>
        <v>#N/A</v>
      </c>
      <c r="Z64" s="58">
        <f>Z57-'Connecting Rod Bolts'!$AG34</f>
        <v>0</v>
      </c>
      <c r="AA64" s="58">
        <f>AA57-'Connecting Rod Bolts'!$AG34</f>
        <v>0</v>
      </c>
      <c r="AB64" s="58" t="e">
        <f>AB57-'Connecting Rod Bolts'!$AG34</f>
        <v>#N/A</v>
      </c>
      <c r="AC64" s="58" t="e">
        <f>AC57-'Connecting Rod Bolts'!$AG34</f>
        <v>#N/A</v>
      </c>
      <c r="AD64" s="58">
        <f>AD57-'Connecting Rod Bolts'!$AG34</f>
        <v>0</v>
      </c>
      <c r="AE64" s="58">
        <f>AE57-'Connecting Rod Bolts'!$AG34</f>
        <v>0</v>
      </c>
      <c r="AF64" s="58">
        <f>AF57-'Connecting Rod Bolts'!$AG34</f>
        <v>0</v>
      </c>
      <c r="AG64" s="9" t="s">
        <v>367</v>
      </c>
    </row>
    <row r="65" spans="1:33">
      <c r="P65" s="9" t="s">
        <v>367</v>
      </c>
      <c r="Q65" s="84" t="e">
        <f>IF(ISBLANK(C58),NA(),19.75)</f>
        <v>#N/A</v>
      </c>
      <c r="R65" s="84">
        <f t="shared" ref="R65:X65" si="245">IF(ISBLANK(D58),NA(),19.75)</f>
        <v>19.75</v>
      </c>
      <c r="S65" s="84">
        <f t="shared" si="245"/>
        <v>19.75</v>
      </c>
      <c r="T65" s="84" t="e">
        <f t="shared" si="245"/>
        <v>#N/A</v>
      </c>
      <c r="U65" s="84" t="e">
        <f t="shared" si="245"/>
        <v>#N/A</v>
      </c>
      <c r="V65" s="84">
        <f t="shared" si="245"/>
        <v>19.75</v>
      </c>
      <c r="W65" s="84">
        <f t="shared" si="245"/>
        <v>19.75</v>
      </c>
      <c r="X65" s="84">
        <f t="shared" si="245"/>
        <v>19.75</v>
      </c>
      <c r="Y65" s="58" t="e">
        <f>Y58-'Connecting Rod Bolts'!$AG35</f>
        <v>#N/A</v>
      </c>
      <c r="Z65" s="58">
        <f>Z58-'Connecting Rod Bolts'!$AG35</f>
        <v>3.1562500000037463E-4</v>
      </c>
      <c r="AA65" s="58">
        <f>AA58-'Connecting Rod Bolts'!$AG35</f>
        <v>1.6562499999983604E-4</v>
      </c>
      <c r="AB65" s="58" t="e">
        <f>AB58-'Connecting Rod Bolts'!$AG35</f>
        <v>#N/A</v>
      </c>
      <c r="AC65" s="58" t="e">
        <f>AC58-'Connecting Rod Bolts'!$AG35</f>
        <v>#N/A</v>
      </c>
      <c r="AD65" s="58">
        <f>AD58-'Connecting Rod Bolts'!$AG35</f>
        <v>2.1562499999971951E-4</v>
      </c>
      <c r="AE65" s="58">
        <f>AE58-'Connecting Rod Bolts'!$AG35</f>
        <v>3.1562499999993054E-4</v>
      </c>
      <c r="AF65" s="58">
        <f>AF58-'Connecting Rod Bolts'!$AG35</f>
        <v>3.1562500000037463E-4</v>
      </c>
      <c r="AG65" s="9" t="s">
        <v>367</v>
      </c>
    </row>
    <row r="66" spans="1:33">
      <c r="P66" s="9" t="s">
        <v>367</v>
      </c>
      <c r="Q66" s="84" t="e">
        <f>IF(ISBLANK(C59),NA(),45)</f>
        <v>#N/A</v>
      </c>
      <c r="R66" s="84">
        <f t="shared" ref="R66:X66" si="246">IF(ISBLANK(D59),NA(),45)</f>
        <v>45</v>
      </c>
      <c r="S66" s="84">
        <f t="shared" si="246"/>
        <v>45</v>
      </c>
      <c r="T66" s="84" t="e">
        <f t="shared" si="246"/>
        <v>#N/A</v>
      </c>
      <c r="U66" s="84" t="e">
        <f t="shared" si="246"/>
        <v>#N/A</v>
      </c>
      <c r="V66" s="84">
        <f t="shared" si="246"/>
        <v>45</v>
      </c>
      <c r="W66" s="84">
        <f t="shared" si="246"/>
        <v>45</v>
      </c>
      <c r="X66" s="84">
        <f t="shared" si="246"/>
        <v>45</v>
      </c>
      <c r="Y66" s="58" t="e">
        <f>Y59-'Connecting Rod Bolts'!$AG36</f>
        <v>#N/A</v>
      </c>
      <c r="Z66" s="58">
        <f>Z59-'Connecting Rod Bolts'!$AG36</f>
        <v>7.7812500000029594E-4</v>
      </c>
      <c r="AA66" s="58">
        <f>AA59-'Connecting Rod Bolts'!$AG36</f>
        <v>3.7812499999989591E-4</v>
      </c>
      <c r="AB66" s="58" t="e">
        <f>AB59-'Connecting Rod Bolts'!$AG36</f>
        <v>#N/A</v>
      </c>
      <c r="AC66" s="58" t="e">
        <f>AC59-'Connecting Rod Bolts'!$AG36</f>
        <v>#N/A</v>
      </c>
      <c r="AD66" s="58">
        <f>AD59-'Connecting Rod Bolts'!$AG36</f>
        <v>5.5312499999993214E-4</v>
      </c>
      <c r="AE66" s="58">
        <f>AE59-'Connecting Rod Bolts'!$AG36</f>
        <v>7.2812499999996838E-4</v>
      </c>
      <c r="AF66" s="58">
        <f>AF59-'Connecting Rod Bolts'!$AG36</f>
        <v>8.2812500000017941E-4</v>
      </c>
      <c r="AG66" s="9" t="s">
        <v>367</v>
      </c>
    </row>
    <row r="67" spans="1:33">
      <c r="P67" s="9" t="s">
        <v>367</v>
      </c>
      <c r="Q67" s="84" t="e">
        <f>IF(ISBLANK(C60),NA(),90)</f>
        <v>#N/A</v>
      </c>
      <c r="R67" s="84">
        <f t="shared" ref="R67:X67" si="247">IF(ISBLANK(D60),NA(),90)</f>
        <v>90</v>
      </c>
      <c r="S67" s="84">
        <f t="shared" si="247"/>
        <v>90</v>
      </c>
      <c r="T67" s="84" t="e">
        <f t="shared" si="247"/>
        <v>#N/A</v>
      </c>
      <c r="U67" s="84" t="e">
        <f t="shared" si="247"/>
        <v>#N/A</v>
      </c>
      <c r="V67" s="84">
        <f t="shared" si="247"/>
        <v>90</v>
      </c>
      <c r="W67" s="84">
        <f t="shared" si="247"/>
        <v>90</v>
      </c>
      <c r="X67" s="84">
        <f t="shared" si="247"/>
        <v>90</v>
      </c>
      <c r="Y67" s="58" t="e">
        <f>Y60-'Connecting Rod Bolts'!$AG37</f>
        <v>#N/A</v>
      </c>
      <c r="Z67" s="58">
        <f>Z60-'Connecting Rod Bolts'!$AG37</f>
        <v>1.0250000000003312E-3</v>
      </c>
      <c r="AA67" s="58">
        <f>AA60-'Connecting Rod Bolts'!$AG37</f>
        <v>4.2499999999995319E-4</v>
      </c>
      <c r="AB67" s="58" t="e">
        <f>AB60-'Connecting Rod Bolts'!$AG37</f>
        <v>#N/A</v>
      </c>
      <c r="AC67" s="58" t="e">
        <f>AC60-'Connecting Rod Bolts'!$AG37</f>
        <v>#N/A</v>
      </c>
      <c r="AD67" s="58">
        <f>AD60-'Connecting Rod Bolts'!$AG37</f>
        <v>6.2499999999993117E-4</v>
      </c>
      <c r="AE67" s="58">
        <f>AE60-'Connecting Rod Bolts'!$AG37</f>
        <v>9.7500000000000364E-4</v>
      </c>
      <c r="AF67" s="58">
        <f>AF60-'Connecting Rod Bolts'!$AG37</f>
        <v>1.1749999999999816E-3</v>
      </c>
      <c r="AG67" s="9" t="s">
        <v>367</v>
      </c>
    </row>
    <row r="68" spans="1:33">
      <c r="P68" s="9" t="s">
        <v>367</v>
      </c>
      <c r="Q68" s="84" t="e">
        <f>IF(ISBLANK(C61),NA(),135)</f>
        <v>#N/A</v>
      </c>
      <c r="R68" s="84">
        <f t="shared" ref="R68:X68" si="248">IF(ISBLANK(D61),NA(),135)</f>
        <v>135</v>
      </c>
      <c r="S68" s="84">
        <f t="shared" si="248"/>
        <v>135</v>
      </c>
      <c r="T68" s="84" t="e">
        <f t="shared" si="248"/>
        <v>#N/A</v>
      </c>
      <c r="U68" s="84" t="e">
        <f t="shared" si="248"/>
        <v>#N/A</v>
      </c>
      <c r="V68" s="84">
        <f t="shared" si="248"/>
        <v>135</v>
      </c>
      <c r="W68" s="84">
        <f t="shared" si="248"/>
        <v>135</v>
      </c>
      <c r="X68" s="84">
        <f t="shared" si="248"/>
        <v>135</v>
      </c>
      <c r="Y68" s="58" t="e">
        <f>Y61-'Connecting Rod Bolts'!$AG38</f>
        <v>#N/A</v>
      </c>
      <c r="Z68" s="58">
        <f>Z61-'Connecting Rod Bolts'!$AG38</f>
        <v>7.7812500000029594E-4</v>
      </c>
      <c r="AA68" s="58">
        <f>AA61-'Connecting Rod Bolts'!$AG38</f>
        <v>3.7812499999989591E-4</v>
      </c>
      <c r="AB68" s="58" t="e">
        <f>AB61-'Connecting Rod Bolts'!$AG38</f>
        <v>#N/A</v>
      </c>
      <c r="AC68" s="58" t="e">
        <f>AC61-'Connecting Rod Bolts'!$AG38</f>
        <v>#N/A</v>
      </c>
      <c r="AD68" s="58">
        <f>AD61-'Connecting Rod Bolts'!$AG38</f>
        <v>5.5312499999993214E-4</v>
      </c>
      <c r="AE68" s="58">
        <f>AE61-'Connecting Rod Bolts'!$AG38</f>
        <v>7.2812499999996838E-4</v>
      </c>
      <c r="AF68" s="58">
        <f>AF61-'Connecting Rod Bolts'!$AG38</f>
        <v>8.2812500000017941E-4</v>
      </c>
      <c r="AG68" s="9" t="s">
        <v>367</v>
      </c>
    </row>
    <row r="69" spans="1:33">
      <c r="P69" s="9" t="s">
        <v>367</v>
      </c>
      <c r="Q69" s="84" t="e">
        <f>IF(ISBLANK(C62),NA(),160.25)</f>
        <v>#N/A</v>
      </c>
      <c r="R69" s="84">
        <f t="shared" ref="R69:X69" si="249">IF(ISBLANK(D62),NA(),160.25)</f>
        <v>160.25</v>
      </c>
      <c r="S69" s="84">
        <f t="shared" si="249"/>
        <v>160.25</v>
      </c>
      <c r="T69" s="84" t="e">
        <f t="shared" si="249"/>
        <v>#N/A</v>
      </c>
      <c r="U69" s="84" t="e">
        <f t="shared" si="249"/>
        <v>#N/A</v>
      </c>
      <c r="V69" s="84">
        <f t="shared" si="249"/>
        <v>160.25</v>
      </c>
      <c r="W69" s="84">
        <f t="shared" si="249"/>
        <v>160.25</v>
      </c>
      <c r="X69" s="84">
        <f t="shared" si="249"/>
        <v>160.25</v>
      </c>
      <c r="Y69" s="58" t="e">
        <f>Y62-'Connecting Rod Bolts'!$AG39</f>
        <v>#N/A</v>
      </c>
      <c r="Z69" s="58">
        <f>Z62-'Connecting Rod Bolts'!$AG39</f>
        <v>3.1562500000037463E-4</v>
      </c>
      <c r="AA69" s="58">
        <f>AA62-'Connecting Rod Bolts'!$AG39</f>
        <v>1.6562499999983604E-4</v>
      </c>
      <c r="AB69" s="58" t="e">
        <f>AB62-'Connecting Rod Bolts'!$AG39</f>
        <v>#N/A</v>
      </c>
      <c r="AC69" s="58" t="e">
        <f>AC62-'Connecting Rod Bolts'!$AG39</f>
        <v>#N/A</v>
      </c>
      <c r="AD69" s="58">
        <f>AD62-'Connecting Rod Bolts'!$AG39</f>
        <v>2.1562499999971951E-4</v>
      </c>
      <c r="AE69" s="58">
        <f>AE62-'Connecting Rod Bolts'!$AG39</f>
        <v>3.1562499999993054E-4</v>
      </c>
      <c r="AF69" s="58">
        <f>AF62-'Connecting Rod Bolts'!$AG39</f>
        <v>3.1562500000037463E-4</v>
      </c>
      <c r="AG69" s="9" t="s">
        <v>367</v>
      </c>
    </row>
    <row r="70" spans="1:33">
      <c r="A70" s="58"/>
      <c r="C70" s="83"/>
      <c r="D70" s="83"/>
      <c r="E70" s="83"/>
      <c r="F70" s="83"/>
      <c r="G70" s="83"/>
      <c r="H70" s="83"/>
      <c r="I70" s="83"/>
      <c r="J70" s="83"/>
      <c r="K70" s="58"/>
      <c r="L70" s="58"/>
      <c r="M70" s="58"/>
      <c r="N70" s="58"/>
      <c r="O70" s="58"/>
      <c r="P70" s="9" t="s">
        <v>367</v>
      </c>
      <c r="Q70" s="84" t="e">
        <f>IF(ISBLANK(C63),NA(),175)</f>
        <v>#N/A</v>
      </c>
      <c r="R70" s="84">
        <f t="shared" ref="R70:X70" si="250">IF(ISBLANK(D63),NA(),175)</f>
        <v>175</v>
      </c>
      <c r="S70" s="84">
        <f t="shared" si="250"/>
        <v>175</v>
      </c>
      <c r="T70" s="84" t="e">
        <f t="shared" si="250"/>
        <v>#N/A</v>
      </c>
      <c r="U70" s="84" t="e">
        <f t="shared" si="250"/>
        <v>#N/A</v>
      </c>
      <c r="V70" s="84">
        <f t="shared" si="250"/>
        <v>175</v>
      </c>
      <c r="W70" s="84">
        <f t="shared" si="250"/>
        <v>175</v>
      </c>
      <c r="X70" s="84">
        <f t="shared" si="250"/>
        <v>175</v>
      </c>
      <c r="Y70" s="58" t="e">
        <f>Y63-'Connecting Rod Bolts'!$AG40</f>
        <v>#N/A</v>
      </c>
      <c r="Z70" s="58">
        <f>Z63-'Connecting Rod Bolts'!$AG40</f>
        <v>0</v>
      </c>
      <c r="AA70" s="58">
        <f>AA63-'Connecting Rod Bolts'!$AG40</f>
        <v>0</v>
      </c>
      <c r="AB70" s="58" t="e">
        <f>AB63-'Connecting Rod Bolts'!$AG40</f>
        <v>#N/A</v>
      </c>
      <c r="AC70" s="58" t="e">
        <f>AC63-'Connecting Rod Bolts'!$AG40</f>
        <v>#N/A</v>
      </c>
      <c r="AD70" s="58">
        <f>AD63-'Connecting Rod Bolts'!$AG40</f>
        <v>0</v>
      </c>
      <c r="AE70" s="58">
        <f>AE63-'Connecting Rod Bolts'!$AG40</f>
        <v>0</v>
      </c>
      <c r="AF70" s="58">
        <f>AF63-'Connecting Rod Bolts'!$AG40</f>
        <v>0</v>
      </c>
      <c r="AG70" s="9" t="s">
        <v>367</v>
      </c>
    </row>
    <row r="71" spans="1:33">
      <c r="C71" s="83"/>
      <c r="D71" s="83"/>
      <c r="E71" s="83"/>
      <c r="F71" s="83"/>
      <c r="G71" s="83"/>
      <c r="H71" s="83"/>
      <c r="I71" s="83"/>
      <c r="J71" s="83"/>
      <c r="K71" s="58"/>
      <c r="L71" s="58"/>
      <c r="M71" s="58"/>
      <c r="N71" s="58"/>
      <c r="O71" s="58"/>
      <c r="Q71" s="84"/>
      <c r="R71" s="84"/>
      <c r="S71" s="84"/>
      <c r="T71" s="84"/>
      <c r="U71" s="84"/>
      <c r="V71" s="84"/>
      <c r="W71" s="84"/>
      <c r="X71" s="84"/>
      <c r="Y71" s="58"/>
      <c r="Z71" s="58"/>
      <c r="AA71" s="58"/>
      <c r="AB71" s="58"/>
      <c r="AC71" s="58"/>
      <c r="AD71" s="58"/>
      <c r="AE71" s="58"/>
      <c r="AF71" s="58"/>
    </row>
  </sheetData>
  <mergeCells count="4">
    <mergeCell ref="Y2:AF2"/>
    <mergeCell ref="Y36:AF36"/>
    <mergeCell ref="Y55:AF55"/>
    <mergeCell ref="Y19:AF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2"/>
  <sheetViews>
    <sheetView topLeftCell="I1" workbookViewId="0">
      <selection activeCell="P3" sqref="P3:X10"/>
    </sheetView>
  </sheetViews>
  <sheetFormatPr defaultRowHeight="15"/>
  <cols>
    <col min="1" max="1" width="16.7109375" bestFit="1" customWidth="1"/>
  </cols>
  <sheetData>
    <row r="1" spans="1:37" s="9" customFormat="1" ht="15" customHeight="1">
      <c r="A1" s="58" t="s">
        <v>239</v>
      </c>
      <c r="B1" s="9" t="s">
        <v>246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37" s="9" customFormat="1" ht="15" customHeight="1">
      <c r="A2" s="58"/>
      <c r="B2" s="9" t="s">
        <v>241</v>
      </c>
      <c r="C2" s="58">
        <v>76.400000000000006</v>
      </c>
      <c r="D2" s="58">
        <v>76.3</v>
      </c>
      <c r="E2" s="58">
        <v>76.2</v>
      </c>
      <c r="F2" s="58">
        <v>76.099999999999994</v>
      </c>
      <c r="G2" s="58">
        <v>76</v>
      </c>
      <c r="H2" s="58">
        <v>76.099999999999994</v>
      </c>
      <c r="I2" s="58">
        <v>76.099999999999994</v>
      </c>
      <c r="J2" s="58">
        <v>76</v>
      </c>
      <c r="K2" s="58"/>
      <c r="L2" s="58"/>
      <c r="M2" s="58"/>
      <c r="N2" s="58"/>
      <c r="O2" s="58"/>
      <c r="Q2" s="101" t="s">
        <v>270</v>
      </c>
      <c r="R2" s="101"/>
      <c r="S2" s="101"/>
      <c r="T2" s="101"/>
      <c r="U2" s="101"/>
      <c r="V2" s="101"/>
      <c r="W2" s="101"/>
      <c r="X2" s="101"/>
    </row>
    <row r="3" spans="1:37" s="9" customFormat="1" ht="15" customHeight="1">
      <c r="A3" s="58"/>
      <c r="B3" s="9" t="s">
        <v>242</v>
      </c>
      <c r="C3" s="58">
        <v>71</v>
      </c>
      <c r="D3" s="58">
        <v>71.400000000000006</v>
      </c>
      <c r="E3" s="58">
        <v>71</v>
      </c>
      <c r="F3" s="58">
        <v>71.2</v>
      </c>
      <c r="G3" s="58">
        <v>71.7</v>
      </c>
      <c r="H3" s="58">
        <v>71.400000000000006</v>
      </c>
      <c r="I3" s="58">
        <v>71.900000000000006</v>
      </c>
      <c r="J3" s="58">
        <v>71.900000000000006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  <c r="AD3" s="88" t="s">
        <v>175</v>
      </c>
      <c r="AE3" s="88" t="s">
        <v>176</v>
      </c>
      <c r="AF3" s="88" t="s">
        <v>177</v>
      </c>
      <c r="AG3" s="88" t="s">
        <v>178</v>
      </c>
      <c r="AH3" s="88" t="s">
        <v>179</v>
      </c>
      <c r="AI3" s="88" t="s">
        <v>180</v>
      </c>
      <c r="AJ3" s="88" t="s">
        <v>181</v>
      </c>
      <c r="AK3" s="88" t="s">
        <v>182</v>
      </c>
    </row>
    <row r="4" spans="1:37" s="9" customFormat="1" ht="15" customHeight="1">
      <c r="A4" s="58">
        <v>5</v>
      </c>
      <c r="B4" s="84">
        <v>5</v>
      </c>
      <c r="C4" s="58">
        <v>2.0507</v>
      </c>
      <c r="D4" s="58">
        <v>2.0503999999999998</v>
      </c>
      <c r="E4" s="58">
        <v>2.0503499999999999</v>
      </c>
      <c r="F4" s="58">
        <v>2.0505499999999999</v>
      </c>
      <c r="G4" s="58">
        <v>2.0506000000000002</v>
      </c>
      <c r="H4" s="58">
        <v>2.0505</v>
      </c>
      <c r="I4" s="58">
        <v>2.0503499999999999</v>
      </c>
      <c r="J4" s="58">
        <v>2.0505</v>
      </c>
      <c r="K4" s="58">
        <f t="shared" ref="K4:K13" si="0">MIN(C4:J4)</f>
        <v>2.0503499999999999</v>
      </c>
      <c r="L4" s="58">
        <f t="shared" ref="L4:L13" si="1">MAX(C4:J4)</f>
        <v>2.0507</v>
      </c>
      <c r="M4" s="58">
        <f t="shared" ref="M4:M10" si="2">MODE(C4:J4)</f>
        <v>2.0503499999999999</v>
      </c>
      <c r="N4" s="58">
        <f t="shared" ref="N4:N10" si="3">K4-M4</f>
        <v>0</v>
      </c>
      <c r="O4" s="58">
        <f t="shared" ref="O4:O10" si="4">L4-M4</f>
        <v>3.5000000000007248E-4</v>
      </c>
      <c r="P4" s="84">
        <v>5</v>
      </c>
      <c r="Q4" s="58">
        <f t="shared" ref="Q4:Q10" si="5">C4-C$7</f>
        <v>2.8500000000000192E-3</v>
      </c>
      <c r="R4" s="58">
        <f t="shared" ref="R4:R10" si="6">D4-D$7</f>
        <v>2.4999999999999467E-3</v>
      </c>
      <c r="S4" s="58">
        <f t="shared" ref="S4:S10" si="7">E4-E$7</f>
        <v>2.3999999999997357E-3</v>
      </c>
      <c r="T4" s="58">
        <f t="shared" ref="T4:T10" si="8">F4-F$7</f>
        <v>2.5999999999997137E-3</v>
      </c>
      <c r="U4" s="58">
        <f t="shared" ref="U4:U10" si="9">G4-G$7</f>
        <v>2.6000000000001577E-3</v>
      </c>
      <c r="V4" s="58">
        <f t="shared" ref="V4:V10" si="10">H4-H$7</f>
        <v>2.5499999999998302E-3</v>
      </c>
      <c r="W4" s="58">
        <f t="shared" ref="W4:W10" si="11">I4-I$7</f>
        <v>2.3499999999998522E-3</v>
      </c>
      <c r="X4" s="58">
        <f t="shared" ref="X4:X10" si="12">J4-J$7</f>
        <v>2.4999999999999467E-3</v>
      </c>
      <c r="Y4" s="58">
        <f t="shared" ref="Y4" si="13">MIN(Q4:X4)</f>
        <v>2.3499999999998522E-3</v>
      </c>
      <c r="Z4" s="58">
        <f t="shared" ref="Z4" si="14">MAX(Q4:X4)</f>
        <v>2.8500000000000192E-3</v>
      </c>
      <c r="AA4" s="58">
        <f>MODE(Q4:X4)</f>
        <v>2.4999999999999467E-3</v>
      </c>
      <c r="AB4" s="58">
        <f t="shared" ref="AB4" si="15">Y4-AA4</f>
        <v>-1.500000000000945E-4</v>
      </c>
      <c r="AC4" s="58">
        <f t="shared" ref="AC4" si="16">Z4-AA4</f>
        <v>3.5000000000007248E-4</v>
      </c>
      <c r="AD4" s="95">
        <v>5</v>
      </c>
      <c r="AE4" s="95">
        <v>5</v>
      </c>
      <c r="AF4" s="95">
        <v>5</v>
      </c>
      <c r="AG4" s="95">
        <v>5</v>
      </c>
      <c r="AH4" s="95">
        <v>5</v>
      </c>
      <c r="AI4" s="95">
        <v>5</v>
      </c>
      <c r="AJ4" s="95">
        <v>5</v>
      </c>
      <c r="AK4" s="95">
        <v>5</v>
      </c>
    </row>
    <row r="5" spans="1:37" s="9" customFormat="1" ht="15" customHeight="1">
      <c r="A5" s="58">
        <v>19.75</v>
      </c>
      <c r="B5" s="84">
        <v>19.75</v>
      </c>
      <c r="C5" s="58">
        <v>2.0486</v>
      </c>
      <c r="D5" s="58">
        <v>2.0486</v>
      </c>
      <c r="E5" s="58">
        <v>2.0488</v>
      </c>
      <c r="F5" s="58">
        <v>2.0488</v>
      </c>
      <c r="G5" s="58">
        <v>2.0488</v>
      </c>
      <c r="H5" s="58">
        <v>2.0488499999999998</v>
      </c>
      <c r="I5" s="58">
        <v>2.0488499999999998</v>
      </c>
      <c r="J5" s="58">
        <v>2.0488499999999998</v>
      </c>
      <c r="K5" s="58">
        <f t="shared" si="0"/>
        <v>2.0486</v>
      </c>
      <c r="L5" s="58">
        <f t="shared" si="1"/>
        <v>2.0488499999999998</v>
      </c>
      <c r="M5" s="58">
        <f t="shared" si="2"/>
        <v>2.0488</v>
      </c>
      <c r="N5" s="58">
        <f t="shared" si="3"/>
        <v>-1.9999999999997797E-4</v>
      </c>
      <c r="O5" s="58">
        <f t="shared" si="4"/>
        <v>4.9999999999883471E-5</v>
      </c>
      <c r="P5" s="84">
        <v>19.75</v>
      </c>
      <c r="Q5" s="58">
        <f t="shared" si="5"/>
        <v>7.5000000000002842E-4</v>
      </c>
      <c r="R5" s="58">
        <f t="shared" si="6"/>
        <v>7.0000000000014495E-4</v>
      </c>
      <c r="S5" s="58">
        <f t="shared" si="7"/>
        <v>8.4999999999979536E-4</v>
      </c>
      <c r="T5" s="58">
        <f t="shared" si="8"/>
        <v>8.4999999999979536E-4</v>
      </c>
      <c r="U5" s="58">
        <f t="shared" si="9"/>
        <v>7.9999999999991189E-4</v>
      </c>
      <c r="V5" s="58">
        <f t="shared" si="10"/>
        <v>8.9999999999967883E-4</v>
      </c>
      <c r="W5" s="58">
        <f t="shared" si="11"/>
        <v>8.4999999999979536E-4</v>
      </c>
      <c r="X5" s="58">
        <f t="shared" si="12"/>
        <v>8.4999999999979536E-4</v>
      </c>
      <c r="Y5" s="58">
        <f t="shared" ref="Y5:Y10" si="17">MIN(Q5:X5)</f>
        <v>7.0000000000014495E-4</v>
      </c>
      <c r="Z5" s="58">
        <f t="shared" ref="Z5:Z10" si="18">MAX(Q5:X5)</f>
        <v>8.9999999999967883E-4</v>
      </c>
      <c r="AA5" s="58">
        <f t="shared" ref="AA5:AA10" si="19">MODE(Q5:X5)</f>
        <v>8.4999999999979536E-4</v>
      </c>
      <c r="AB5" s="58">
        <f t="shared" ref="AB5:AB11" si="20">Y5-AA5</f>
        <v>-1.4999999999965041E-4</v>
      </c>
      <c r="AC5" s="58">
        <f t="shared" ref="AC5:AC11" si="21">Z5-AA5</f>
        <v>4.9999999999883471E-5</v>
      </c>
      <c r="AD5" s="95">
        <v>19.75</v>
      </c>
      <c r="AE5" s="95">
        <v>19.75</v>
      </c>
      <c r="AF5" s="95">
        <v>19.75</v>
      </c>
      <c r="AG5" s="95">
        <v>19.75</v>
      </c>
      <c r="AH5" s="95">
        <v>19.75</v>
      </c>
      <c r="AI5" s="95">
        <v>19.75</v>
      </c>
      <c r="AJ5" s="95">
        <v>19.75</v>
      </c>
      <c r="AK5" s="95">
        <v>19.75</v>
      </c>
    </row>
    <row r="6" spans="1:37" s="9" customFormat="1" ht="15" customHeight="1">
      <c r="A6" s="58">
        <v>45</v>
      </c>
      <c r="B6" s="84">
        <v>45</v>
      </c>
      <c r="C6" s="58">
        <v>2.0481500000000001</v>
      </c>
      <c r="D6" s="58">
        <v>2.048</v>
      </c>
      <c r="E6" s="58">
        <v>2.0484</v>
      </c>
      <c r="F6" s="58">
        <v>2.0481500000000001</v>
      </c>
      <c r="G6" s="58">
        <v>2.0482999999999998</v>
      </c>
      <c r="H6" s="58">
        <v>2.0480499999999999</v>
      </c>
      <c r="I6" s="58">
        <v>2.0483500000000001</v>
      </c>
      <c r="J6" s="58">
        <v>2.0482999999999998</v>
      </c>
      <c r="K6" s="58">
        <f t="shared" si="0"/>
        <v>2.048</v>
      </c>
      <c r="L6" s="58">
        <f t="shared" si="1"/>
        <v>2.0484</v>
      </c>
      <c r="M6" s="58">
        <f t="shared" si="2"/>
        <v>2.0481500000000001</v>
      </c>
      <c r="N6" s="58">
        <f t="shared" si="3"/>
        <v>-1.500000000000945E-4</v>
      </c>
      <c r="O6" s="58">
        <f t="shared" si="4"/>
        <v>2.4999999999986144E-4</v>
      </c>
      <c r="P6" s="84">
        <v>45</v>
      </c>
      <c r="Q6" s="58">
        <f t="shared" si="5"/>
        <v>3.00000000000189E-4</v>
      </c>
      <c r="R6" s="58">
        <f t="shared" si="6"/>
        <v>1.0000000000021103E-4</v>
      </c>
      <c r="S6" s="58">
        <f t="shared" si="7"/>
        <v>4.4999999999983942E-4</v>
      </c>
      <c r="T6" s="58">
        <f t="shared" si="8"/>
        <v>1.9999999999997797E-4</v>
      </c>
      <c r="U6" s="58">
        <f t="shared" si="9"/>
        <v>2.9999999999974492E-4</v>
      </c>
      <c r="V6" s="58">
        <f t="shared" si="10"/>
        <v>9.9999999999766942E-5</v>
      </c>
      <c r="W6" s="58">
        <f t="shared" si="11"/>
        <v>3.5000000000007248E-4</v>
      </c>
      <c r="X6" s="58">
        <f t="shared" si="12"/>
        <v>2.9999999999974492E-4</v>
      </c>
      <c r="Y6" s="58">
        <f t="shared" si="17"/>
        <v>9.9999999999766942E-5</v>
      </c>
      <c r="Z6" s="58">
        <f t="shared" si="18"/>
        <v>4.4999999999983942E-4</v>
      </c>
      <c r="AA6" s="58">
        <f t="shared" si="19"/>
        <v>2.9999999999974492E-4</v>
      </c>
      <c r="AB6" s="58">
        <f t="shared" si="20"/>
        <v>-1.9999999999997797E-4</v>
      </c>
      <c r="AC6" s="58">
        <f t="shared" si="21"/>
        <v>1.500000000000945E-4</v>
      </c>
      <c r="AD6" s="95">
        <v>45</v>
      </c>
      <c r="AE6" s="95">
        <v>45</v>
      </c>
      <c r="AF6" s="95">
        <v>45</v>
      </c>
      <c r="AG6" s="95">
        <v>45</v>
      </c>
      <c r="AH6" s="95">
        <v>45</v>
      </c>
      <c r="AI6" s="95">
        <v>45</v>
      </c>
      <c r="AJ6" s="95">
        <v>45</v>
      </c>
      <c r="AK6" s="95">
        <v>45</v>
      </c>
    </row>
    <row r="7" spans="1:37" s="9" customFormat="1" ht="15" customHeight="1">
      <c r="A7" s="58">
        <v>90</v>
      </c>
      <c r="B7" s="84">
        <v>90</v>
      </c>
      <c r="C7" s="58">
        <v>2.0478499999999999</v>
      </c>
      <c r="D7" s="58">
        <v>2.0478999999999998</v>
      </c>
      <c r="E7" s="58">
        <v>2.0479500000000002</v>
      </c>
      <c r="F7" s="58">
        <v>2.0479500000000002</v>
      </c>
      <c r="G7" s="58">
        <v>2.048</v>
      </c>
      <c r="H7" s="58">
        <v>2.0479500000000002</v>
      </c>
      <c r="I7" s="58">
        <v>2.048</v>
      </c>
      <c r="J7" s="58">
        <v>2.048</v>
      </c>
      <c r="K7" s="58">
        <f t="shared" si="0"/>
        <v>2.0478499999999999</v>
      </c>
      <c r="L7" s="58">
        <f t="shared" si="1"/>
        <v>2.048</v>
      </c>
      <c r="M7" s="58">
        <f t="shared" si="2"/>
        <v>2.0479500000000002</v>
      </c>
      <c r="N7" s="58">
        <f t="shared" si="3"/>
        <v>-1.0000000000021103E-4</v>
      </c>
      <c r="O7" s="58">
        <f t="shared" si="4"/>
        <v>4.9999999999883471E-5</v>
      </c>
      <c r="P7" s="84">
        <v>90</v>
      </c>
      <c r="Q7" s="58">
        <f>C7-C$7</f>
        <v>0</v>
      </c>
      <c r="R7" s="58">
        <f t="shared" si="6"/>
        <v>0</v>
      </c>
      <c r="S7" s="58">
        <f t="shared" si="7"/>
        <v>0</v>
      </c>
      <c r="T7" s="58">
        <f t="shared" si="8"/>
        <v>0</v>
      </c>
      <c r="U7" s="58">
        <f t="shared" si="9"/>
        <v>0</v>
      </c>
      <c r="V7" s="58">
        <f t="shared" si="10"/>
        <v>0</v>
      </c>
      <c r="W7" s="58">
        <f t="shared" si="11"/>
        <v>0</v>
      </c>
      <c r="X7" s="58">
        <f t="shared" si="12"/>
        <v>0</v>
      </c>
      <c r="Y7" s="58">
        <f t="shared" si="17"/>
        <v>0</v>
      </c>
      <c r="Z7" s="58">
        <f t="shared" si="18"/>
        <v>0</v>
      </c>
      <c r="AA7" s="58">
        <f t="shared" si="19"/>
        <v>0</v>
      </c>
      <c r="AB7" s="58">
        <f t="shared" si="20"/>
        <v>0</v>
      </c>
      <c r="AC7" s="58">
        <f t="shared" si="21"/>
        <v>0</v>
      </c>
      <c r="AD7" s="95">
        <v>90</v>
      </c>
      <c r="AE7" s="95">
        <v>90</v>
      </c>
      <c r="AF7" s="95">
        <v>90</v>
      </c>
      <c r="AG7" s="95">
        <v>90</v>
      </c>
      <c r="AH7" s="95">
        <v>90</v>
      </c>
      <c r="AI7" s="95">
        <v>90</v>
      </c>
      <c r="AJ7" s="95">
        <v>90</v>
      </c>
      <c r="AK7" s="95">
        <v>90</v>
      </c>
    </row>
    <row r="8" spans="1:37" s="9" customFormat="1" ht="15" customHeight="1">
      <c r="A8" s="58">
        <v>135</v>
      </c>
      <c r="B8" s="84">
        <v>135</v>
      </c>
      <c r="C8" s="58">
        <v>2.048</v>
      </c>
      <c r="D8" s="58">
        <v>2.0482</v>
      </c>
      <c r="E8" s="58">
        <v>2.0482</v>
      </c>
      <c r="F8" s="58">
        <v>2.0484</v>
      </c>
      <c r="G8" s="58">
        <v>2.0482</v>
      </c>
      <c r="H8" s="58">
        <v>2.0480999999999998</v>
      </c>
      <c r="I8" s="58">
        <v>2.0484</v>
      </c>
      <c r="J8" s="58">
        <v>2.0482</v>
      </c>
      <c r="K8" s="58">
        <f t="shared" si="0"/>
        <v>2.048</v>
      </c>
      <c r="L8" s="58">
        <f t="shared" si="1"/>
        <v>2.0484</v>
      </c>
      <c r="M8" s="58">
        <f t="shared" si="2"/>
        <v>2.0482</v>
      </c>
      <c r="N8" s="58">
        <f t="shared" si="3"/>
        <v>-1.9999999999997797E-4</v>
      </c>
      <c r="O8" s="58">
        <f t="shared" si="4"/>
        <v>1.9999999999997797E-4</v>
      </c>
      <c r="P8" s="84">
        <v>135</v>
      </c>
      <c r="Q8" s="58">
        <f t="shared" si="5"/>
        <v>1.500000000000945E-4</v>
      </c>
      <c r="R8" s="58">
        <f t="shared" si="6"/>
        <v>3.00000000000189E-4</v>
      </c>
      <c r="S8" s="58">
        <f t="shared" si="7"/>
        <v>2.4999999999986144E-4</v>
      </c>
      <c r="T8" s="58">
        <f t="shared" si="8"/>
        <v>4.4999999999983942E-4</v>
      </c>
      <c r="U8" s="58">
        <f t="shared" si="9"/>
        <v>1.9999999999997797E-4</v>
      </c>
      <c r="V8" s="58">
        <f t="shared" si="10"/>
        <v>1.4999999999965041E-4</v>
      </c>
      <c r="W8" s="58">
        <f t="shared" si="11"/>
        <v>3.9999999999995595E-4</v>
      </c>
      <c r="X8" s="58">
        <f t="shared" si="12"/>
        <v>1.9999999999997797E-4</v>
      </c>
      <c r="Y8" s="58">
        <f t="shared" si="17"/>
        <v>1.4999999999965041E-4</v>
      </c>
      <c r="Z8" s="58">
        <f t="shared" si="18"/>
        <v>4.4999999999983942E-4</v>
      </c>
      <c r="AA8" s="58">
        <f t="shared" si="19"/>
        <v>1.9999999999997797E-4</v>
      </c>
      <c r="AB8" s="58">
        <f t="shared" si="20"/>
        <v>-5.000000000032756E-5</v>
      </c>
      <c r="AC8" s="58">
        <f t="shared" si="21"/>
        <v>2.4999999999986144E-4</v>
      </c>
      <c r="AD8" s="95">
        <v>135</v>
      </c>
      <c r="AE8" s="95">
        <v>135</v>
      </c>
      <c r="AF8" s="95">
        <v>135</v>
      </c>
      <c r="AG8" s="95">
        <v>135</v>
      </c>
      <c r="AH8" s="95">
        <v>135</v>
      </c>
      <c r="AI8" s="95">
        <v>135</v>
      </c>
      <c r="AJ8" s="95">
        <v>135</v>
      </c>
      <c r="AK8" s="95">
        <v>135</v>
      </c>
    </row>
    <row r="9" spans="1:37" s="9" customFormat="1" ht="15" customHeight="1">
      <c r="A9" s="58">
        <v>160.25</v>
      </c>
      <c r="B9" s="84">
        <v>160.25</v>
      </c>
      <c r="C9" s="58">
        <v>2.0486</v>
      </c>
      <c r="D9" s="58">
        <v>2.0486</v>
      </c>
      <c r="E9" s="58">
        <v>2.0488</v>
      </c>
      <c r="F9" s="58">
        <v>2.0487000000000002</v>
      </c>
      <c r="G9" s="58">
        <v>2.0488499999999998</v>
      </c>
      <c r="H9" s="58">
        <v>2.0488</v>
      </c>
      <c r="I9" s="58">
        <v>2.0487000000000002</v>
      </c>
      <c r="J9" s="58">
        <v>2.0488499999999998</v>
      </c>
      <c r="K9" s="58">
        <f t="shared" si="0"/>
        <v>2.0486</v>
      </c>
      <c r="L9" s="58">
        <f t="shared" si="1"/>
        <v>2.0488499999999998</v>
      </c>
      <c r="M9" s="58">
        <f t="shared" si="2"/>
        <v>2.0486</v>
      </c>
      <c r="N9" s="58">
        <f t="shared" si="3"/>
        <v>0</v>
      </c>
      <c r="O9" s="58">
        <f t="shared" si="4"/>
        <v>2.4999999999986144E-4</v>
      </c>
      <c r="P9" s="84">
        <v>160.25</v>
      </c>
      <c r="Q9" s="58">
        <f t="shared" si="5"/>
        <v>7.5000000000002842E-4</v>
      </c>
      <c r="R9" s="58">
        <f t="shared" si="6"/>
        <v>7.0000000000014495E-4</v>
      </c>
      <c r="S9" s="58">
        <f t="shared" si="7"/>
        <v>8.4999999999979536E-4</v>
      </c>
      <c r="T9" s="58">
        <f t="shared" si="8"/>
        <v>7.5000000000002842E-4</v>
      </c>
      <c r="U9" s="58">
        <f t="shared" si="9"/>
        <v>8.4999999999979536E-4</v>
      </c>
      <c r="V9" s="58">
        <f t="shared" si="10"/>
        <v>8.4999999999979536E-4</v>
      </c>
      <c r="W9" s="58">
        <f t="shared" si="11"/>
        <v>7.0000000000014495E-4</v>
      </c>
      <c r="X9" s="58">
        <f t="shared" si="12"/>
        <v>8.4999999999979536E-4</v>
      </c>
      <c r="Y9" s="58">
        <f t="shared" si="17"/>
        <v>7.0000000000014495E-4</v>
      </c>
      <c r="Z9" s="58">
        <f t="shared" si="18"/>
        <v>8.4999999999979536E-4</v>
      </c>
      <c r="AA9" s="58">
        <f t="shared" si="19"/>
        <v>8.4999999999979536E-4</v>
      </c>
      <c r="AB9" s="58">
        <f t="shared" si="20"/>
        <v>-1.4999999999965041E-4</v>
      </c>
      <c r="AC9" s="58">
        <f t="shared" si="21"/>
        <v>0</v>
      </c>
      <c r="AD9" s="95">
        <v>160.25</v>
      </c>
      <c r="AE9" s="95">
        <v>160.25</v>
      </c>
      <c r="AF9" s="95">
        <v>160.25</v>
      </c>
      <c r="AG9" s="95">
        <v>160.25</v>
      </c>
      <c r="AH9" s="95">
        <v>160.25</v>
      </c>
      <c r="AI9" s="95">
        <v>160.25</v>
      </c>
      <c r="AJ9" s="95">
        <v>160.25</v>
      </c>
      <c r="AK9" s="95">
        <v>160.25</v>
      </c>
    </row>
    <row r="10" spans="1:37" s="9" customFormat="1" ht="15" customHeight="1">
      <c r="A10" s="58">
        <v>175</v>
      </c>
      <c r="B10" s="84">
        <v>175</v>
      </c>
      <c r="C10" s="58">
        <v>2.0506000000000002</v>
      </c>
      <c r="D10" s="58">
        <v>2.0510000000000002</v>
      </c>
      <c r="E10" s="58">
        <v>2.0503499999999999</v>
      </c>
      <c r="F10" s="58">
        <v>2.0506000000000002</v>
      </c>
      <c r="G10" s="58">
        <v>2.0505499999999999</v>
      </c>
      <c r="H10" s="58">
        <v>2.0501499999999999</v>
      </c>
      <c r="I10" s="58">
        <v>2.0505</v>
      </c>
      <c r="J10" s="58">
        <v>2.0505499999999999</v>
      </c>
      <c r="K10" s="58">
        <f t="shared" si="0"/>
        <v>2.0501499999999999</v>
      </c>
      <c r="L10" s="58">
        <f t="shared" si="1"/>
        <v>2.0510000000000002</v>
      </c>
      <c r="M10" s="58">
        <f t="shared" si="2"/>
        <v>2.0506000000000002</v>
      </c>
      <c r="N10" s="58">
        <f t="shared" si="3"/>
        <v>-4.5000000000028351E-4</v>
      </c>
      <c r="O10" s="58">
        <f t="shared" si="4"/>
        <v>3.9999999999995595E-4</v>
      </c>
      <c r="P10" s="84">
        <v>175</v>
      </c>
      <c r="Q10" s="58">
        <f t="shared" si="5"/>
        <v>2.7500000000002522E-3</v>
      </c>
      <c r="R10" s="58">
        <f t="shared" si="6"/>
        <v>3.1000000000003247E-3</v>
      </c>
      <c r="S10" s="58">
        <f t="shared" si="7"/>
        <v>2.3999999999997357E-3</v>
      </c>
      <c r="T10" s="58">
        <f t="shared" si="8"/>
        <v>2.6500000000000412E-3</v>
      </c>
      <c r="U10" s="58">
        <f t="shared" si="9"/>
        <v>2.5499999999998302E-3</v>
      </c>
      <c r="V10" s="58">
        <f t="shared" si="10"/>
        <v>2.1999999999997577E-3</v>
      </c>
      <c r="W10" s="58">
        <f t="shared" si="11"/>
        <v>2.4999999999999467E-3</v>
      </c>
      <c r="X10" s="58">
        <f t="shared" si="12"/>
        <v>2.5499999999998302E-3</v>
      </c>
      <c r="Y10" s="58">
        <f t="shared" si="17"/>
        <v>2.1999999999997577E-3</v>
      </c>
      <c r="Z10" s="58">
        <f t="shared" si="18"/>
        <v>3.1000000000003247E-3</v>
      </c>
      <c r="AA10" s="58">
        <f t="shared" si="19"/>
        <v>2.5499999999998302E-3</v>
      </c>
      <c r="AB10" s="58">
        <f t="shared" si="20"/>
        <v>-3.5000000000007248E-4</v>
      </c>
      <c r="AC10" s="58">
        <f t="shared" si="21"/>
        <v>5.5000000000049454E-4</v>
      </c>
      <c r="AD10" s="95">
        <v>175</v>
      </c>
      <c r="AE10" s="95">
        <v>175</v>
      </c>
      <c r="AF10" s="95">
        <v>175</v>
      </c>
      <c r="AG10" s="95">
        <v>175</v>
      </c>
      <c r="AH10" s="95">
        <v>175</v>
      </c>
      <c r="AI10" s="95">
        <v>175</v>
      </c>
      <c r="AJ10" s="95">
        <v>175</v>
      </c>
      <c r="AK10" s="95">
        <v>175</v>
      </c>
    </row>
    <row r="11" spans="1:37" s="9" customFormat="1" ht="15" customHeight="1">
      <c r="A11" s="58" t="s">
        <v>269</v>
      </c>
      <c r="B11" s="9" t="s">
        <v>237</v>
      </c>
      <c r="C11" s="58">
        <v>7.8899999999999998E-2</v>
      </c>
      <c r="D11" s="58">
        <v>7.8850000000000003E-2</v>
      </c>
      <c r="E11" s="58">
        <v>7.8899999999999998E-2</v>
      </c>
      <c r="F11" s="58">
        <v>7.8850000000000003E-2</v>
      </c>
      <c r="G11" s="58">
        <v>7.8850000000000003E-2</v>
      </c>
      <c r="H11" s="58">
        <v>7.8850000000000003E-2</v>
      </c>
      <c r="I11" s="58">
        <v>7.8850000000000003E-2</v>
      </c>
      <c r="J11" s="58">
        <v>7.8799999999999995E-2</v>
      </c>
      <c r="K11" s="58">
        <f t="shared" ref="K11:K12" si="22">MIN(C11:J11)</f>
        <v>7.8799999999999995E-2</v>
      </c>
      <c r="L11" s="58">
        <f t="shared" ref="L11:L12" si="23">MAX(C11:J11)</f>
        <v>7.8899999999999998E-2</v>
      </c>
      <c r="M11" s="58">
        <f t="shared" ref="M11:M12" si="24">MODE(C11:J11)</f>
        <v>7.8850000000000003E-2</v>
      </c>
      <c r="N11" s="58">
        <f t="shared" ref="N11:N12" si="25">K11-M11</f>
        <v>-5.0000000000008371E-5</v>
      </c>
      <c r="O11" s="58">
        <f t="shared" ref="O11:O12" si="26">L11-M11</f>
        <v>4.9999999999994493E-5</v>
      </c>
      <c r="P11" s="58"/>
      <c r="Y11" s="58">
        <f>MIN(Q5:X5,Q9:X9)</f>
        <v>7.0000000000014495E-4</v>
      </c>
      <c r="Z11" s="58">
        <f>MAX(Q5:X5,Q9:X9)</f>
        <v>8.9999999999967883E-4</v>
      </c>
      <c r="AA11" s="58">
        <f>MODE(Q5:X5,Q9:X9)</f>
        <v>8.4999999999979536E-4</v>
      </c>
      <c r="AB11" s="58">
        <f t="shared" si="20"/>
        <v>-1.4999999999965041E-4</v>
      </c>
      <c r="AC11" s="58">
        <f t="shared" si="21"/>
        <v>4.9999999999883471E-5</v>
      </c>
    </row>
    <row r="12" spans="1:37" s="9" customFormat="1" ht="15" customHeight="1">
      <c r="A12" s="58" t="s">
        <v>269</v>
      </c>
      <c r="B12" s="9" t="s">
        <v>238</v>
      </c>
      <c r="C12" s="58">
        <v>7.8750000000000001E-2</v>
      </c>
      <c r="D12" s="58">
        <v>7.8799999999999995E-2</v>
      </c>
      <c r="E12" s="58">
        <v>7.8600000000000003E-2</v>
      </c>
      <c r="F12" s="58">
        <v>7.8600000000000003E-2</v>
      </c>
      <c r="G12" s="58">
        <v>7.8649999999999998E-2</v>
      </c>
      <c r="H12" s="58">
        <v>7.8649999999999998E-2</v>
      </c>
      <c r="I12" s="58">
        <v>7.8649999999999998E-2</v>
      </c>
      <c r="J12" s="58">
        <v>7.8649999999999998E-2</v>
      </c>
      <c r="K12" s="58">
        <f t="shared" si="22"/>
        <v>7.8600000000000003E-2</v>
      </c>
      <c r="L12" s="58">
        <f t="shared" si="23"/>
        <v>7.8799999999999995E-2</v>
      </c>
      <c r="M12" s="58">
        <f t="shared" si="24"/>
        <v>7.8649999999999998E-2</v>
      </c>
      <c r="N12" s="58">
        <f t="shared" si="25"/>
        <v>-4.9999999999994493E-5</v>
      </c>
      <c r="O12" s="58">
        <f t="shared" si="26"/>
        <v>1.4999999999999736E-4</v>
      </c>
      <c r="P12" s="58"/>
    </row>
    <row r="13" spans="1:37" s="9" customFormat="1" ht="15" customHeight="1">
      <c r="A13" s="58" t="s">
        <v>243</v>
      </c>
      <c r="C13" s="58">
        <f>C7-'Rod Journals'!$O$2</f>
        <v>1.3499999999999623E-3</v>
      </c>
      <c r="D13" s="58">
        <f>D7-'Rod Journals'!$O$2</f>
        <v>1.3999999999998458E-3</v>
      </c>
      <c r="E13" s="58">
        <f>E7-'Rod Journals'!$O$2</f>
        <v>1.4500000000001734E-3</v>
      </c>
      <c r="F13" s="58">
        <f>F7-'Rod Journals'!$O$2</f>
        <v>1.4500000000001734E-3</v>
      </c>
      <c r="G13" s="58">
        <f>G7-'Rod Journals'!$O$2</f>
        <v>1.5000000000000568E-3</v>
      </c>
      <c r="H13" s="58">
        <f>H7-'Rod Journals'!$O$2</f>
        <v>1.4500000000001734E-3</v>
      </c>
      <c r="I13" s="58">
        <f>I7-'Rod Journals'!$O$2</f>
        <v>1.5000000000000568E-3</v>
      </c>
      <c r="J13" s="58">
        <f>J7-'Rod Journals'!$O$2</f>
        <v>1.5000000000000568E-3</v>
      </c>
      <c r="K13" s="58">
        <f t="shared" si="0"/>
        <v>1.3499999999999623E-3</v>
      </c>
      <c r="L13" s="58">
        <f t="shared" si="1"/>
        <v>1.5000000000000568E-3</v>
      </c>
      <c r="M13" s="58">
        <f t="shared" ref="M13" si="27">MODE(C13:J13)</f>
        <v>1.4500000000001734E-3</v>
      </c>
      <c r="N13" s="58">
        <f t="shared" ref="N13" si="28">K13-M13</f>
        <v>-1.0000000000021103E-4</v>
      </c>
      <c r="O13" s="58">
        <f t="shared" ref="O13" si="29">L13-M13</f>
        <v>4.9999999999883471E-5</v>
      </c>
      <c r="P13" s="58"/>
    </row>
    <row r="14" spans="1:37" s="9" customFormat="1" ht="15" customHeight="1">
      <c r="A14" s="58" t="s">
        <v>244</v>
      </c>
      <c r="C14" s="58">
        <f>C7-'Rod Journals'!$N$2</f>
        <v>1.0499999999997733E-3</v>
      </c>
      <c r="D14" s="58">
        <f>D7-'Rod Journals'!$N$2</f>
        <v>1.0999999999996568E-3</v>
      </c>
      <c r="E14" s="58">
        <f>E7-'Rod Journals'!$N$2</f>
        <v>1.1499999999999844E-3</v>
      </c>
      <c r="F14" s="58">
        <f>F7-'Rod Journals'!$N$2</f>
        <v>1.1499999999999844E-3</v>
      </c>
      <c r="G14" s="58">
        <f>G7-'Rod Journals'!$N$2</f>
        <v>1.1999999999998678E-3</v>
      </c>
      <c r="H14" s="58">
        <f>H7-'Rod Journals'!$N$2</f>
        <v>1.1499999999999844E-3</v>
      </c>
      <c r="I14" s="58">
        <f>I7-'Rod Journals'!$N$2</f>
        <v>1.1999999999998678E-3</v>
      </c>
      <c r="J14" s="58">
        <f>J7-'Rod Journals'!$N$2</f>
        <v>1.1999999999998678E-3</v>
      </c>
      <c r="K14" s="58">
        <f>K21-'Rod Journals'!$N$2</f>
        <v>8.9999999999967883E-4</v>
      </c>
      <c r="L14" s="58"/>
      <c r="M14" s="58"/>
      <c r="N14" s="58"/>
      <c r="O14" s="58"/>
    </row>
    <row r="15" spans="1:37" s="9" customFormat="1" ht="15" customHeight="1">
      <c r="A15" s="58" t="s">
        <v>245</v>
      </c>
      <c r="C15" s="58">
        <f>C7-'Rod Journals'!$M$2</f>
        <v>1.4499999999997293E-3</v>
      </c>
      <c r="D15" s="58">
        <f>D7-'Rod Journals'!$M$2</f>
        <v>1.4999999999996128E-3</v>
      </c>
      <c r="E15" s="58">
        <f>E7-'Rod Journals'!$M$2</f>
        <v>1.5499999999999403E-3</v>
      </c>
      <c r="F15" s="58">
        <f>F7-'Rod Journals'!$M$2</f>
        <v>1.5499999999999403E-3</v>
      </c>
      <c r="G15" s="58">
        <f>G7-'Rod Journals'!$M$2</f>
        <v>1.5999999999998238E-3</v>
      </c>
      <c r="H15" s="58">
        <f>H7-'Rod Journals'!$M$2</f>
        <v>1.5499999999999403E-3</v>
      </c>
      <c r="I15" s="58">
        <f>I7-'Rod Journals'!$M$2</f>
        <v>1.5999999999998238E-3</v>
      </c>
      <c r="J15" s="58">
        <f>J7-'Rod Journals'!$M$2</f>
        <v>1.5999999999998238E-3</v>
      </c>
      <c r="K15" s="58"/>
      <c r="L15" s="58">
        <f>L21-'Rod Journals'!$M$2</f>
        <v>1.5999999999998238E-3</v>
      </c>
      <c r="M15" s="58"/>
      <c r="N15" s="58"/>
      <c r="O15" s="58"/>
    </row>
    <row r="16" spans="1:37">
      <c r="A16" s="58" t="s">
        <v>274</v>
      </c>
      <c r="K16" s="58">
        <f>K14</f>
        <v>8.9999999999967883E-4</v>
      </c>
      <c r="L16" s="58">
        <f>L15</f>
        <v>1.5999999999998238E-3</v>
      </c>
      <c r="M16" s="58">
        <f>MODE(Q21:X32)</f>
        <v>1.5000000000000568E-3</v>
      </c>
      <c r="N16" s="58">
        <f>K16-M16</f>
        <v>-6.0000000000037801E-4</v>
      </c>
      <c r="O16" s="58">
        <f>L16-M16</f>
        <v>9.9999999999766942E-5</v>
      </c>
    </row>
    <row r="17" spans="1:29">
      <c r="A17" s="58" t="s">
        <v>360</v>
      </c>
      <c r="K17">
        <v>5.9999999999999995E-4</v>
      </c>
      <c r="L17">
        <v>2.0999999999999999E-3</v>
      </c>
      <c r="M17">
        <f>AVERAGE(K17:L17)</f>
        <v>1.3499999999999999E-3</v>
      </c>
      <c r="N17" s="58">
        <f>K17-M17</f>
        <v>-7.4999999999999991E-4</v>
      </c>
      <c r="O17" s="58">
        <f>L17-M17</f>
        <v>7.5000000000000002E-4</v>
      </c>
    </row>
    <row r="20" spans="1:29" s="9" customFormat="1">
      <c r="A20" s="58"/>
      <c r="B20" s="9" t="s">
        <v>356</v>
      </c>
      <c r="C20" s="79" t="s">
        <v>175</v>
      </c>
      <c r="D20" s="79" t="s">
        <v>176</v>
      </c>
      <c r="E20" s="79" t="s">
        <v>177</v>
      </c>
      <c r="F20" s="79" t="s">
        <v>178</v>
      </c>
      <c r="G20" s="79" t="s">
        <v>179</v>
      </c>
      <c r="H20" s="79" t="s">
        <v>180</v>
      </c>
      <c r="I20" s="79" t="s">
        <v>181</v>
      </c>
      <c r="J20" s="79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 s="9" customFormat="1">
      <c r="A21" s="58" t="s">
        <v>199</v>
      </c>
      <c r="B21" s="9" t="s">
        <v>354</v>
      </c>
      <c r="C21" s="58">
        <f>C7</f>
        <v>2.0478499999999999</v>
      </c>
      <c r="D21" s="58">
        <f t="shared" ref="D21:J21" si="30">D7</f>
        <v>2.0478999999999998</v>
      </c>
      <c r="E21" s="58">
        <f t="shared" si="30"/>
        <v>2.0479500000000002</v>
      </c>
      <c r="F21" s="58">
        <f t="shared" si="30"/>
        <v>2.0479500000000002</v>
      </c>
      <c r="G21" s="58">
        <f t="shared" si="30"/>
        <v>2.048</v>
      </c>
      <c r="H21" s="58">
        <f t="shared" si="30"/>
        <v>2.0479500000000002</v>
      </c>
      <c r="I21" s="58">
        <f t="shared" si="30"/>
        <v>2.048</v>
      </c>
      <c r="J21" s="58">
        <f t="shared" si="30"/>
        <v>2.048</v>
      </c>
      <c r="K21" s="58">
        <f>MIN(C21:J32)</f>
        <v>2.0476999999999999</v>
      </c>
      <c r="L21" s="58">
        <f>MAX(C21:K32)</f>
        <v>2.048</v>
      </c>
      <c r="M21" s="58">
        <f>MODE(C21:L32)</f>
        <v>2.048</v>
      </c>
      <c r="N21" s="58">
        <f t="shared" ref="N21" si="31">K21-M21</f>
        <v>-3.00000000000189E-4</v>
      </c>
      <c r="O21" s="58">
        <f t="shared" ref="O21" si="32">L21-M21</f>
        <v>0</v>
      </c>
      <c r="Q21" s="58">
        <f>C21-'Rod Journals'!$O$2</f>
        <v>1.3499999999999623E-3</v>
      </c>
      <c r="R21" s="58">
        <f>D21-'Rod Journals'!$O$2</f>
        <v>1.3999999999998458E-3</v>
      </c>
      <c r="S21" s="58">
        <f>E21-'Rod Journals'!$O$2</f>
        <v>1.4500000000001734E-3</v>
      </c>
      <c r="T21" s="58">
        <f>F21-'Rod Journals'!$O$2</f>
        <v>1.4500000000001734E-3</v>
      </c>
      <c r="U21" s="58">
        <f>G21-'Rod Journals'!$O$2</f>
        <v>1.5000000000000568E-3</v>
      </c>
      <c r="V21" s="58">
        <f>H21-'Rod Journals'!$O$2</f>
        <v>1.4500000000001734E-3</v>
      </c>
      <c r="W21" s="58">
        <f>I21-'Rod Journals'!$O$2</f>
        <v>1.5000000000000568E-3</v>
      </c>
      <c r="X21" s="58">
        <f>J21-'Rod Journals'!$O$2</f>
        <v>1.5000000000000568E-3</v>
      </c>
      <c r="Y21" s="58">
        <f>MIN(Q21:X32)</f>
        <v>1.1999999999998678E-3</v>
      </c>
      <c r="Z21" s="58">
        <f>MAX(Q21:Y32)</f>
        <v>1.5000000000000568E-3</v>
      </c>
      <c r="AA21" s="58">
        <f>MODE(Q21:Z32)</f>
        <v>1.5000000000000568E-3</v>
      </c>
      <c r="AB21" s="58">
        <f t="shared" ref="AB21" si="33">Y21-AA21</f>
        <v>-3.00000000000189E-4</v>
      </c>
      <c r="AC21" s="58">
        <f t="shared" ref="AC21" si="34">Z21-AA21</f>
        <v>0</v>
      </c>
    </row>
    <row r="22" spans="1:29" s="9" customFormat="1">
      <c r="A22" s="58" t="s">
        <v>200</v>
      </c>
      <c r="B22" s="9" t="s">
        <v>355</v>
      </c>
      <c r="C22" s="58">
        <v>2.048</v>
      </c>
      <c r="D22" s="58">
        <v>2.0476999999999999</v>
      </c>
      <c r="E22" s="58">
        <v>2.0478999999999998</v>
      </c>
      <c r="F22" s="58">
        <v>2.0476999999999999</v>
      </c>
      <c r="G22" s="58">
        <v>2.0478499999999999</v>
      </c>
      <c r="H22" s="58">
        <v>2.0478000000000001</v>
      </c>
      <c r="I22" s="58">
        <v>2.0478999999999998</v>
      </c>
      <c r="J22" s="58">
        <v>2.0478000000000001</v>
      </c>
      <c r="K22" s="58"/>
      <c r="L22" s="58"/>
      <c r="M22" s="58"/>
      <c r="N22" s="58"/>
      <c r="O22" s="58"/>
      <c r="Q22" s="58">
        <f>C22-'Rod Journals'!$O$2</f>
        <v>1.5000000000000568E-3</v>
      </c>
      <c r="R22" s="58">
        <f>D22-'Rod Journals'!$O$2</f>
        <v>1.1999999999998678E-3</v>
      </c>
      <c r="S22" s="58">
        <f>E22-'Rod Journals'!$O$2</f>
        <v>1.3999999999998458E-3</v>
      </c>
      <c r="T22" s="58">
        <f>F22-'Rod Journals'!$O$2</f>
        <v>1.1999999999998678E-3</v>
      </c>
      <c r="U22" s="58">
        <f>G22-'Rod Journals'!$O$2</f>
        <v>1.3499999999999623E-3</v>
      </c>
      <c r="V22" s="58">
        <f>H22-'Rod Journals'!$O$2</f>
        <v>1.3000000000000789E-3</v>
      </c>
      <c r="W22" s="58">
        <f>I22-'Rod Journals'!$O$2</f>
        <v>1.3999999999998458E-3</v>
      </c>
      <c r="X22" s="58">
        <f>J22-'Rod Journals'!$O$2</f>
        <v>1.3000000000000789E-3</v>
      </c>
    </row>
    <row r="23" spans="1:29" s="9" customFormat="1">
      <c r="A23" s="58" t="s">
        <v>201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29" s="9" customFormat="1">
      <c r="A24" s="58" t="s">
        <v>202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29" s="9" customFormat="1">
      <c r="A25" s="58" t="s">
        <v>203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29" s="9" customFormat="1">
      <c r="A26" s="58" t="s">
        <v>204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9" s="9" customFormat="1">
      <c r="A27" s="58" t="s">
        <v>205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9" s="9" customFormat="1">
      <c r="A28" s="58" t="s">
        <v>206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29" s="9" customFormat="1">
      <c r="A29" s="58" t="s">
        <v>207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29" s="9" customFormat="1">
      <c r="A30" s="58" t="s">
        <v>208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29" s="9" customFormat="1">
      <c r="A31" s="58" t="s">
        <v>209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9" s="9" customFormat="1">
      <c r="A32" s="58" t="s">
        <v>210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</sheetData>
  <mergeCells count="1">
    <mergeCell ref="Q2:X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32"/>
  <sheetViews>
    <sheetView workbookViewId="0">
      <selection activeCell="W11" sqref="W11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37" ht="15" customHeight="1">
      <c r="A1" s="58" t="s">
        <v>239</v>
      </c>
      <c r="B1" s="9" t="s">
        <v>240</v>
      </c>
    </row>
    <row r="2" spans="1:37" ht="15" customHeight="1">
      <c r="B2" s="9" t="s">
        <v>241</v>
      </c>
      <c r="C2" s="58">
        <v>76.599999999999994</v>
      </c>
      <c r="D2" s="58">
        <v>76.599999999999994</v>
      </c>
      <c r="E2" s="58">
        <v>76.5</v>
      </c>
      <c r="F2" s="58">
        <v>76.5</v>
      </c>
      <c r="G2" s="58">
        <v>76.400000000000006</v>
      </c>
      <c r="H2" s="58">
        <v>76.400000000000006</v>
      </c>
      <c r="I2" s="58">
        <v>76.3</v>
      </c>
      <c r="J2" s="58">
        <v>76.599999999999994</v>
      </c>
      <c r="K2" s="58">
        <f>AVERAGE(C2:J2)</f>
        <v>76.487499999999997</v>
      </c>
      <c r="Q2" s="101" t="s">
        <v>270</v>
      </c>
      <c r="R2" s="101"/>
      <c r="S2" s="101"/>
      <c r="T2" s="101"/>
      <c r="U2" s="101"/>
      <c r="V2" s="101"/>
      <c r="W2" s="101"/>
      <c r="X2" s="101"/>
    </row>
    <row r="3" spans="1:37" ht="15" customHeight="1">
      <c r="B3" s="9" t="s">
        <v>242</v>
      </c>
      <c r="C3" s="58">
        <v>71.599999999999994</v>
      </c>
      <c r="D3" s="58">
        <v>71.2</v>
      </c>
      <c r="E3" s="58">
        <v>71.599999999999994</v>
      </c>
      <c r="F3" s="58">
        <v>71.599999999999994</v>
      </c>
      <c r="G3" s="58">
        <v>71.7</v>
      </c>
      <c r="H3" s="58">
        <v>72.099999999999994</v>
      </c>
      <c r="I3" s="58">
        <v>71.900000000000006</v>
      </c>
      <c r="J3" s="58">
        <v>72.5</v>
      </c>
      <c r="K3" s="58">
        <f>AVERAGE(C3:J3)</f>
        <v>71.774999999999991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  <c r="AD3" s="88" t="s">
        <v>175</v>
      </c>
      <c r="AE3" s="88" t="s">
        <v>176</v>
      </c>
      <c r="AF3" s="88" t="s">
        <v>177</v>
      </c>
      <c r="AG3" s="88" t="s">
        <v>178</v>
      </c>
      <c r="AH3" s="88" t="s">
        <v>179</v>
      </c>
      <c r="AI3" s="88" t="s">
        <v>180</v>
      </c>
      <c r="AJ3" s="88" t="s">
        <v>181</v>
      </c>
      <c r="AK3" s="88" t="s">
        <v>182</v>
      </c>
    </row>
    <row r="4" spans="1:37" ht="15" customHeight="1">
      <c r="A4" s="58">
        <v>5</v>
      </c>
      <c r="B4" s="84">
        <v>5</v>
      </c>
      <c r="C4" s="58">
        <v>2.0528</v>
      </c>
      <c r="D4" s="58">
        <v>2.0529000000000002</v>
      </c>
      <c r="E4" s="58">
        <v>2.0529000000000002</v>
      </c>
      <c r="F4" s="58">
        <v>2.0528</v>
      </c>
      <c r="G4" s="58">
        <v>2.0525000000000002</v>
      </c>
      <c r="H4" s="58">
        <v>2.0526</v>
      </c>
      <c r="I4" s="58">
        <v>2.0527000000000002</v>
      </c>
      <c r="J4" s="58">
        <v>2.0529000000000002</v>
      </c>
      <c r="K4" s="58">
        <f t="shared" ref="K4:K13" si="0">MIN(C4:J4)</f>
        <v>2.0525000000000002</v>
      </c>
      <c r="L4" s="58">
        <f t="shared" ref="L4:L13" si="1">MAX(C4:J4)</f>
        <v>2.0529000000000002</v>
      </c>
      <c r="M4" s="58">
        <f>MODE(C4:J4)</f>
        <v>2.0529000000000002</v>
      </c>
      <c r="N4" s="58">
        <f t="shared" ref="N4:N10" si="2">K4-M4</f>
        <v>-3.9999999999995595E-4</v>
      </c>
      <c r="O4" s="58">
        <f t="shared" ref="O4:O10" si="3">L4-M4</f>
        <v>0</v>
      </c>
      <c r="P4" s="84">
        <v>5</v>
      </c>
      <c r="Q4" s="58">
        <f t="shared" ref="Q4:X10" si="4">C4-C$7</f>
        <v>4.5000000000001705E-3</v>
      </c>
      <c r="R4" s="58">
        <f t="shared" si="4"/>
        <v>4.750000000000032E-3</v>
      </c>
      <c r="S4" s="58">
        <f t="shared" si="4"/>
        <v>4.5000000000001705E-3</v>
      </c>
      <c r="T4" s="58">
        <f t="shared" si="4"/>
        <v>4.5999999999999375E-3</v>
      </c>
      <c r="U4" s="58">
        <f t="shared" si="4"/>
        <v>4.1500000000000981E-3</v>
      </c>
      <c r="V4" s="58">
        <f t="shared" si="4"/>
        <v>4.3000000000001926E-3</v>
      </c>
      <c r="W4" s="58">
        <f t="shared" si="4"/>
        <v>4.5000000000001705E-3</v>
      </c>
      <c r="X4" s="58">
        <f t="shared" si="4"/>
        <v>4.7000000000001485E-3</v>
      </c>
      <c r="Y4" s="58">
        <f t="shared" ref="Y4:Y10" si="5">MIN(Q4:X4)</f>
        <v>4.1500000000000981E-3</v>
      </c>
      <c r="Z4" s="58">
        <f t="shared" ref="Z4:Z10" si="6">MAX(Q4:X4)</f>
        <v>4.750000000000032E-3</v>
      </c>
      <c r="AA4" s="58">
        <f>MODE(Q4:X4)</f>
        <v>4.5000000000001705E-3</v>
      </c>
      <c r="AB4" s="58">
        <f t="shared" ref="AB4:AB11" si="7">Y4-AA4</f>
        <v>-3.5000000000007248E-4</v>
      </c>
      <c r="AC4" s="58">
        <f t="shared" ref="AC4:AC11" si="8">Z4-AA4</f>
        <v>2.4999999999986144E-4</v>
      </c>
      <c r="AD4" s="95">
        <v>5</v>
      </c>
      <c r="AE4" s="95">
        <v>5</v>
      </c>
      <c r="AF4" s="95">
        <v>5</v>
      </c>
      <c r="AG4" s="95">
        <v>5</v>
      </c>
      <c r="AH4" s="95">
        <v>5</v>
      </c>
      <c r="AI4" s="95">
        <v>5</v>
      </c>
      <c r="AJ4" s="95">
        <v>5</v>
      </c>
      <c r="AK4" s="95">
        <v>5</v>
      </c>
    </row>
    <row r="5" spans="1:37" ht="15" customHeight="1">
      <c r="A5" s="58">
        <v>19.75</v>
      </c>
      <c r="B5" s="84">
        <v>19.75</v>
      </c>
      <c r="C5" s="58">
        <v>2.0504500000000001</v>
      </c>
      <c r="D5" s="58">
        <v>2.0503499999999999</v>
      </c>
      <c r="E5" s="58">
        <v>2.0503499999999999</v>
      </c>
      <c r="F5" s="58">
        <v>2.0501999999999998</v>
      </c>
      <c r="G5" s="58">
        <v>2.0501</v>
      </c>
      <c r="H5" s="58">
        <v>2.0501999999999998</v>
      </c>
      <c r="I5" s="58">
        <v>2.0503499999999999</v>
      </c>
      <c r="J5" s="58">
        <v>2.0503499999999999</v>
      </c>
      <c r="K5" s="58">
        <f t="shared" si="0"/>
        <v>2.0501</v>
      </c>
      <c r="L5" s="58">
        <f t="shared" si="1"/>
        <v>2.0504500000000001</v>
      </c>
      <c r="M5" s="58">
        <f t="shared" ref="M5:M10" si="9">MODE(C5:J5)</f>
        <v>2.0503499999999999</v>
      </c>
      <c r="N5" s="58">
        <f t="shared" si="2"/>
        <v>-2.4999999999986144E-4</v>
      </c>
      <c r="O5" s="58">
        <f t="shared" si="3"/>
        <v>1.0000000000021103E-4</v>
      </c>
      <c r="P5" s="84">
        <v>19.75</v>
      </c>
      <c r="Q5" s="58">
        <f t="shared" si="4"/>
        <v>2.1500000000003183E-3</v>
      </c>
      <c r="R5" s="58">
        <f t="shared" si="4"/>
        <v>2.1999999999997577E-3</v>
      </c>
      <c r="S5" s="58">
        <f t="shared" si="4"/>
        <v>1.9499999999998963E-3</v>
      </c>
      <c r="T5" s="58">
        <f t="shared" si="4"/>
        <v>1.9999999999997797E-3</v>
      </c>
      <c r="U5" s="58">
        <f t="shared" si="4"/>
        <v>1.7499999999999183E-3</v>
      </c>
      <c r="V5" s="58">
        <f t="shared" si="4"/>
        <v>1.9000000000000128E-3</v>
      </c>
      <c r="W5" s="58">
        <f t="shared" si="4"/>
        <v>2.1499999999998742E-3</v>
      </c>
      <c r="X5" s="58">
        <f t="shared" si="4"/>
        <v>2.1499999999998742E-3</v>
      </c>
      <c r="Y5" s="58">
        <f t="shared" si="5"/>
        <v>1.7499999999999183E-3</v>
      </c>
      <c r="Z5" s="58">
        <f t="shared" si="6"/>
        <v>2.1999999999997577E-3</v>
      </c>
      <c r="AA5" s="58">
        <f t="shared" ref="AA5:AA9" si="10">MODE(Q5:X5)</f>
        <v>2.1499999999998742E-3</v>
      </c>
      <c r="AB5" s="58">
        <f t="shared" si="7"/>
        <v>-3.9999999999995595E-4</v>
      </c>
      <c r="AC5" s="58">
        <f t="shared" si="8"/>
        <v>4.9999999999883471E-5</v>
      </c>
      <c r="AD5" s="95">
        <v>19.75</v>
      </c>
      <c r="AE5" s="95">
        <v>19.75</v>
      </c>
      <c r="AF5" s="95">
        <v>19.75</v>
      </c>
      <c r="AG5" s="95">
        <v>19.75</v>
      </c>
      <c r="AH5" s="95">
        <v>19.75</v>
      </c>
      <c r="AI5" s="95">
        <v>19.75</v>
      </c>
      <c r="AJ5" s="95">
        <v>19.75</v>
      </c>
      <c r="AK5" s="95">
        <v>19.75</v>
      </c>
    </row>
    <row r="6" spans="1:37" ht="15" customHeight="1">
      <c r="A6" s="58">
        <v>45</v>
      </c>
      <c r="B6" s="84">
        <v>45</v>
      </c>
      <c r="C6" s="58">
        <v>2.0489999999999999</v>
      </c>
      <c r="D6" s="58">
        <v>2.0488</v>
      </c>
      <c r="E6" s="58">
        <v>2.0488</v>
      </c>
      <c r="F6" s="58">
        <v>2.0491999999999999</v>
      </c>
      <c r="G6" s="58">
        <v>2.0487000000000002</v>
      </c>
      <c r="H6" s="58">
        <v>2.0489000000000002</v>
      </c>
      <c r="I6" s="58">
        <v>2.0488</v>
      </c>
      <c r="J6" s="58">
        <v>2.0489000000000002</v>
      </c>
      <c r="K6" s="58">
        <f t="shared" si="0"/>
        <v>2.0487000000000002</v>
      </c>
      <c r="L6" s="58">
        <f t="shared" si="1"/>
        <v>2.0491999999999999</v>
      </c>
      <c r="M6" s="58">
        <f t="shared" si="9"/>
        <v>2.0488</v>
      </c>
      <c r="N6" s="58">
        <f t="shared" si="2"/>
        <v>-9.9999999999766942E-5</v>
      </c>
      <c r="O6" s="58">
        <f t="shared" si="3"/>
        <v>3.9999999999995595E-4</v>
      </c>
      <c r="P6" s="84">
        <v>45</v>
      </c>
      <c r="Q6" s="58">
        <f t="shared" si="4"/>
        <v>7.0000000000014495E-4</v>
      </c>
      <c r="R6" s="58">
        <f t="shared" si="4"/>
        <v>6.4999999999981739E-4</v>
      </c>
      <c r="S6" s="58">
        <f t="shared" si="4"/>
        <v>3.9999999999995595E-4</v>
      </c>
      <c r="T6" s="58">
        <f t="shared" si="4"/>
        <v>9.9999999999988987E-4</v>
      </c>
      <c r="U6" s="58">
        <f t="shared" si="4"/>
        <v>3.5000000000007248E-4</v>
      </c>
      <c r="V6" s="58">
        <f t="shared" si="4"/>
        <v>6.0000000000037801E-4</v>
      </c>
      <c r="W6" s="58">
        <f t="shared" si="4"/>
        <v>5.9999999999993392E-4</v>
      </c>
      <c r="X6" s="58">
        <f t="shared" si="4"/>
        <v>7.0000000000014495E-4</v>
      </c>
      <c r="Y6" s="58">
        <f t="shared" si="5"/>
        <v>3.5000000000007248E-4</v>
      </c>
      <c r="Z6" s="58">
        <f t="shared" si="6"/>
        <v>9.9999999999988987E-4</v>
      </c>
      <c r="AA6" s="58">
        <f t="shared" si="10"/>
        <v>7.0000000000014495E-4</v>
      </c>
      <c r="AB6" s="58">
        <f t="shared" si="7"/>
        <v>-3.5000000000007248E-4</v>
      </c>
      <c r="AC6" s="58">
        <f t="shared" si="8"/>
        <v>2.9999999999974492E-4</v>
      </c>
      <c r="AD6" s="95">
        <v>45</v>
      </c>
      <c r="AE6" s="95">
        <v>45</v>
      </c>
      <c r="AF6" s="95">
        <v>45</v>
      </c>
      <c r="AG6" s="95">
        <v>45</v>
      </c>
      <c r="AH6" s="95">
        <v>45</v>
      </c>
      <c r="AI6" s="95">
        <v>45</v>
      </c>
      <c r="AJ6" s="95">
        <v>45</v>
      </c>
      <c r="AK6" s="95">
        <v>45</v>
      </c>
    </row>
    <row r="7" spans="1:37" ht="15" customHeight="1">
      <c r="A7" s="58">
        <v>90</v>
      </c>
      <c r="B7" s="84">
        <v>90</v>
      </c>
      <c r="C7" s="58">
        <v>2.0482999999999998</v>
      </c>
      <c r="D7" s="58">
        <v>2.0481500000000001</v>
      </c>
      <c r="E7" s="58">
        <v>2.0484</v>
      </c>
      <c r="F7" s="58">
        <v>2.0482</v>
      </c>
      <c r="G7" s="58">
        <v>2.0483500000000001</v>
      </c>
      <c r="H7" s="58">
        <v>2.0482999999999998</v>
      </c>
      <c r="I7" s="58">
        <v>2.0482</v>
      </c>
      <c r="J7" s="58">
        <v>2.0482</v>
      </c>
      <c r="K7" s="58">
        <f>MIN(C21:J32)</f>
        <v>2.0479500000000002</v>
      </c>
      <c r="L7" s="58">
        <f>MAX(C21:J32)</f>
        <v>2.0484</v>
      </c>
      <c r="M7" s="58">
        <f>MODE(C21:J32)</f>
        <v>2.048</v>
      </c>
      <c r="N7" s="58">
        <f t="shared" si="2"/>
        <v>-4.9999999999883471E-5</v>
      </c>
      <c r="O7" s="58">
        <f t="shared" si="3"/>
        <v>3.9999999999995595E-4</v>
      </c>
      <c r="P7" s="84">
        <v>90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  <c r="AD7" s="95">
        <v>90</v>
      </c>
      <c r="AE7" s="95">
        <v>90</v>
      </c>
      <c r="AF7" s="95">
        <v>90</v>
      </c>
      <c r="AG7" s="95">
        <v>90</v>
      </c>
      <c r="AH7" s="95">
        <v>90</v>
      </c>
      <c r="AI7" s="95">
        <v>90</v>
      </c>
      <c r="AJ7" s="95">
        <v>90</v>
      </c>
      <c r="AK7" s="95">
        <v>90</v>
      </c>
    </row>
    <row r="8" spans="1:37" ht="15" customHeight="1">
      <c r="A8" s="58">
        <v>135</v>
      </c>
      <c r="B8" s="84">
        <v>135</v>
      </c>
      <c r="C8" s="58">
        <v>2.0489999999999999</v>
      </c>
      <c r="D8" s="58">
        <v>2.0489000000000002</v>
      </c>
      <c r="E8" s="58">
        <v>2.0489999999999999</v>
      </c>
      <c r="F8" s="58">
        <v>2.0488499999999998</v>
      </c>
      <c r="G8" s="58">
        <v>2.0489999999999999</v>
      </c>
      <c r="H8" s="58">
        <v>2.0489000000000002</v>
      </c>
      <c r="I8" s="58">
        <v>2.0489000000000002</v>
      </c>
      <c r="J8" s="58">
        <v>2.0488499999999998</v>
      </c>
      <c r="K8" s="58">
        <f>MIN(C21:J32)</f>
        <v>2.0479500000000002</v>
      </c>
      <c r="L8" s="58">
        <f t="shared" si="1"/>
        <v>2.0489999999999999</v>
      </c>
      <c r="M8" s="58">
        <f t="shared" si="9"/>
        <v>2.0489999999999999</v>
      </c>
      <c r="N8" s="58">
        <f t="shared" si="2"/>
        <v>-1.0499999999997733E-3</v>
      </c>
      <c r="O8" s="58">
        <f t="shared" si="3"/>
        <v>0</v>
      </c>
      <c r="P8" s="84">
        <v>135</v>
      </c>
      <c r="Q8" s="58">
        <f t="shared" si="4"/>
        <v>7.0000000000014495E-4</v>
      </c>
      <c r="R8" s="58">
        <f t="shared" si="4"/>
        <v>7.5000000000002842E-4</v>
      </c>
      <c r="S8" s="58">
        <f t="shared" si="4"/>
        <v>5.9999999999993392E-4</v>
      </c>
      <c r="T8" s="58">
        <f t="shared" si="4"/>
        <v>6.4999999999981739E-4</v>
      </c>
      <c r="U8" s="58">
        <f t="shared" si="4"/>
        <v>6.4999999999981739E-4</v>
      </c>
      <c r="V8" s="58">
        <f t="shared" si="4"/>
        <v>6.0000000000037801E-4</v>
      </c>
      <c r="W8" s="58">
        <f t="shared" si="4"/>
        <v>7.0000000000014495E-4</v>
      </c>
      <c r="X8" s="58">
        <f t="shared" si="4"/>
        <v>6.4999999999981739E-4</v>
      </c>
      <c r="Y8" s="58">
        <f t="shared" si="5"/>
        <v>5.9999999999993392E-4</v>
      </c>
      <c r="Z8" s="58">
        <f t="shared" si="6"/>
        <v>7.5000000000002842E-4</v>
      </c>
      <c r="AA8" s="58">
        <f t="shared" si="10"/>
        <v>6.4999999999981739E-4</v>
      </c>
      <c r="AB8" s="58">
        <f t="shared" si="7"/>
        <v>-4.9999999999883471E-5</v>
      </c>
      <c r="AC8" s="58">
        <f t="shared" si="8"/>
        <v>1.0000000000021103E-4</v>
      </c>
      <c r="AD8" s="95">
        <v>135</v>
      </c>
      <c r="AE8" s="95">
        <v>135</v>
      </c>
      <c r="AF8" s="95">
        <v>135</v>
      </c>
      <c r="AG8" s="95">
        <v>135</v>
      </c>
      <c r="AH8" s="95">
        <v>135</v>
      </c>
      <c r="AI8" s="95">
        <v>135</v>
      </c>
      <c r="AJ8" s="95">
        <v>135</v>
      </c>
      <c r="AK8" s="95">
        <v>135</v>
      </c>
    </row>
    <row r="9" spans="1:37" ht="15" customHeight="1">
      <c r="A9" s="58">
        <v>160.25</v>
      </c>
      <c r="B9" s="84">
        <v>160.25</v>
      </c>
      <c r="C9" s="58">
        <v>2.0503499999999999</v>
      </c>
      <c r="D9" s="58">
        <v>2.0504500000000001</v>
      </c>
      <c r="E9" s="58">
        <v>2.0503499999999999</v>
      </c>
      <c r="F9" s="58">
        <v>2.0501999999999998</v>
      </c>
      <c r="G9" s="58">
        <v>2.0503999999999998</v>
      </c>
      <c r="H9" s="58">
        <v>2.0503999999999998</v>
      </c>
      <c r="I9" s="58">
        <v>2.0503499999999999</v>
      </c>
      <c r="J9" s="58">
        <v>2.0501999999999998</v>
      </c>
      <c r="K9" s="58">
        <f t="shared" si="0"/>
        <v>2.0501999999999998</v>
      </c>
      <c r="L9" s="58">
        <f t="shared" si="1"/>
        <v>2.0504500000000001</v>
      </c>
      <c r="M9" s="58">
        <f t="shared" si="9"/>
        <v>2.0503499999999999</v>
      </c>
      <c r="N9" s="58">
        <f t="shared" si="2"/>
        <v>-1.500000000000945E-4</v>
      </c>
      <c r="O9" s="58">
        <f t="shared" si="3"/>
        <v>1.0000000000021103E-4</v>
      </c>
      <c r="P9" s="84">
        <v>160.25</v>
      </c>
      <c r="Q9" s="58">
        <f t="shared" si="4"/>
        <v>2.0500000000001073E-3</v>
      </c>
      <c r="R9" s="58">
        <f t="shared" si="4"/>
        <v>2.2999999999999687E-3</v>
      </c>
      <c r="S9" s="58">
        <f t="shared" si="4"/>
        <v>1.9499999999998963E-3</v>
      </c>
      <c r="T9" s="58">
        <f t="shared" si="4"/>
        <v>1.9999999999997797E-3</v>
      </c>
      <c r="U9" s="58">
        <f t="shared" si="4"/>
        <v>2.0499999999996632E-3</v>
      </c>
      <c r="V9" s="58">
        <f t="shared" si="4"/>
        <v>2.0999999999999908E-3</v>
      </c>
      <c r="W9" s="58">
        <f t="shared" si="4"/>
        <v>2.1499999999998742E-3</v>
      </c>
      <c r="X9" s="58">
        <f t="shared" si="4"/>
        <v>1.9999999999997797E-3</v>
      </c>
      <c r="Y9" s="58">
        <f t="shared" si="5"/>
        <v>1.9499999999998963E-3</v>
      </c>
      <c r="Z9" s="58">
        <f t="shared" si="6"/>
        <v>2.2999999999999687E-3</v>
      </c>
      <c r="AA9" s="58">
        <f t="shared" si="10"/>
        <v>1.9999999999997797E-3</v>
      </c>
      <c r="AB9" s="58">
        <f t="shared" si="7"/>
        <v>-4.9999999999883471E-5</v>
      </c>
      <c r="AC9" s="58">
        <f t="shared" si="8"/>
        <v>3.00000000000189E-4</v>
      </c>
      <c r="AD9" s="95">
        <v>160.25</v>
      </c>
      <c r="AE9" s="95">
        <v>160.25</v>
      </c>
      <c r="AF9" s="95">
        <v>160.25</v>
      </c>
      <c r="AG9" s="95">
        <v>160.25</v>
      </c>
      <c r="AH9" s="95">
        <v>160.25</v>
      </c>
      <c r="AI9" s="95">
        <v>160.25</v>
      </c>
      <c r="AJ9" s="95">
        <v>160.25</v>
      </c>
      <c r="AK9" s="95">
        <v>160.25</v>
      </c>
    </row>
    <row r="10" spans="1:37" ht="15" customHeight="1">
      <c r="A10" s="58">
        <v>175</v>
      </c>
      <c r="B10" s="84">
        <v>175</v>
      </c>
      <c r="C10" s="58">
        <v>2.0528</v>
      </c>
      <c r="D10" s="58">
        <v>2.0529999999999999</v>
      </c>
      <c r="E10" s="58">
        <v>2.0527000000000002</v>
      </c>
      <c r="F10" s="58">
        <v>2.0528</v>
      </c>
      <c r="G10" s="58">
        <v>2.0528499999999998</v>
      </c>
      <c r="H10" s="58">
        <v>2.0529000000000002</v>
      </c>
      <c r="I10" s="58">
        <v>2.0528499999999998</v>
      </c>
      <c r="J10" s="58">
        <v>2.0529999999999999</v>
      </c>
      <c r="K10" s="58">
        <f t="shared" si="0"/>
        <v>2.0527000000000002</v>
      </c>
      <c r="L10" s="58">
        <f t="shared" si="1"/>
        <v>2.0529999999999999</v>
      </c>
      <c r="M10" s="58">
        <f t="shared" si="9"/>
        <v>2.0528</v>
      </c>
      <c r="N10" s="58">
        <f t="shared" si="2"/>
        <v>-9.9999999999766942E-5</v>
      </c>
      <c r="O10" s="58">
        <f t="shared" si="3"/>
        <v>1.9999999999997797E-4</v>
      </c>
      <c r="P10" s="84">
        <v>175</v>
      </c>
      <c r="Q10" s="58">
        <f t="shared" si="4"/>
        <v>4.5000000000001705E-3</v>
      </c>
      <c r="R10" s="58">
        <f t="shared" si="4"/>
        <v>4.8499999999997989E-3</v>
      </c>
      <c r="S10" s="58">
        <f t="shared" si="4"/>
        <v>4.3000000000001926E-3</v>
      </c>
      <c r="T10" s="58">
        <f t="shared" si="4"/>
        <v>4.5999999999999375E-3</v>
      </c>
      <c r="U10" s="58">
        <f t="shared" si="4"/>
        <v>4.4999999999997264E-3</v>
      </c>
      <c r="V10" s="58">
        <f t="shared" si="4"/>
        <v>4.6000000000003816E-3</v>
      </c>
      <c r="W10" s="58">
        <f t="shared" si="4"/>
        <v>4.6499999999998209E-3</v>
      </c>
      <c r="X10" s="58">
        <f t="shared" si="4"/>
        <v>4.7999999999999154E-3</v>
      </c>
      <c r="Y10" s="58">
        <f t="shared" si="5"/>
        <v>4.3000000000001926E-3</v>
      </c>
      <c r="Z10" s="58">
        <f t="shared" si="6"/>
        <v>4.8499999999997989E-3</v>
      </c>
      <c r="AA10" s="58">
        <f>AVERAGE(Q10:X10)</f>
        <v>4.599999999999993E-3</v>
      </c>
      <c r="AB10" s="58">
        <f t="shared" si="7"/>
        <v>-2.9999999999980043E-4</v>
      </c>
      <c r="AC10" s="58">
        <f t="shared" si="8"/>
        <v>2.4999999999980593E-4</v>
      </c>
      <c r="AD10" s="95">
        <v>175</v>
      </c>
      <c r="AE10" s="95">
        <v>175</v>
      </c>
      <c r="AF10" s="95">
        <v>175</v>
      </c>
      <c r="AG10" s="95">
        <v>175</v>
      </c>
      <c r="AH10" s="95">
        <v>175</v>
      </c>
      <c r="AI10" s="95">
        <v>175</v>
      </c>
      <c r="AJ10" s="95">
        <v>175</v>
      </c>
      <c r="AK10" s="95">
        <v>175</v>
      </c>
    </row>
    <row r="11" spans="1:37" ht="15" customHeight="1">
      <c r="A11" s="58" t="s">
        <v>269</v>
      </c>
      <c r="B11" s="9" t="s">
        <v>235</v>
      </c>
      <c r="C11" s="58">
        <v>7.8649999999999998E-2</v>
      </c>
      <c r="D11" s="58">
        <v>7.8649999999999998E-2</v>
      </c>
      <c r="E11" s="58">
        <v>7.8700000000000006E-2</v>
      </c>
      <c r="F11" s="58">
        <v>7.8649999999999998E-2</v>
      </c>
      <c r="G11" s="58">
        <v>7.8649999999999998E-2</v>
      </c>
      <c r="H11" s="58">
        <v>7.8649999999999998E-2</v>
      </c>
      <c r="I11" s="58">
        <v>7.8649999999999998E-2</v>
      </c>
      <c r="J11" s="58">
        <v>7.8700000000000006E-2</v>
      </c>
      <c r="K11" s="58">
        <f t="shared" ref="K11:K12" si="11">MIN(C11:J11)</f>
        <v>7.8649999999999998E-2</v>
      </c>
      <c r="L11" s="58">
        <f t="shared" ref="L11:L12" si="12">MAX(C11:J11)</f>
        <v>7.8700000000000006E-2</v>
      </c>
      <c r="M11" s="58">
        <f t="shared" ref="M11:M12" si="13">MODE(C11:J11)</f>
        <v>7.8649999999999998E-2</v>
      </c>
      <c r="N11" s="58">
        <f t="shared" ref="N11:N12" si="14">K11-M11</f>
        <v>0</v>
      </c>
      <c r="O11" s="58">
        <f t="shared" ref="O11:O12" si="15">L11-M11</f>
        <v>5.0000000000008371E-5</v>
      </c>
      <c r="Y11" s="58">
        <f>MIN(Q5:X5,Q9:X9)</f>
        <v>1.7499999999999183E-3</v>
      </c>
      <c r="Z11" s="58">
        <f>MAX(Q5:X5,Q9:X9)</f>
        <v>2.2999999999999687E-3</v>
      </c>
      <c r="AA11" s="58">
        <f>MODE(Q5:X5,Q9:X9)</f>
        <v>1.9999999999997797E-3</v>
      </c>
      <c r="AB11" s="58">
        <f t="shared" si="7"/>
        <v>-2.4999999999986144E-4</v>
      </c>
      <c r="AC11" s="58">
        <f t="shared" si="8"/>
        <v>3.00000000000189E-4</v>
      </c>
    </row>
    <row r="12" spans="1:37" ht="15" customHeight="1">
      <c r="A12" s="58" t="s">
        <v>269</v>
      </c>
      <c r="B12" s="9" t="s">
        <v>236</v>
      </c>
      <c r="C12" s="58">
        <v>7.85E-2</v>
      </c>
      <c r="D12" s="58">
        <v>7.8549999999999995E-2</v>
      </c>
      <c r="E12" s="58">
        <v>7.85E-2</v>
      </c>
      <c r="F12" s="58">
        <v>7.85E-2</v>
      </c>
      <c r="G12" s="58">
        <v>7.8549999999999995E-2</v>
      </c>
      <c r="H12" s="58">
        <v>7.8549999999999995E-2</v>
      </c>
      <c r="I12" s="58">
        <v>7.85E-2</v>
      </c>
      <c r="J12" s="58">
        <v>7.85E-2</v>
      </c>
      <c r="K12" s="58">
        <f t="shared" si="11"/>
        <v>7.85E-2</v>
      </c>
      <c r="L12" s="58">
        <f t="shared" si="12"/>
        <v>7.8549999999999995E-2</v>
      </c>
      <c r="M12" s="58">
        <f t="shared" si="13"/>
        <v>7.85E-2</v>
      </c>
      <c r="N12" s="58">
        <f t="shared" si="14"/>
        <v>0</v>
      </c>
      <c r="O12" s="58">
        <f t="shared" si="15"/>
        <v>4.9999999999994493E-5</v>
      </c>
    </row>
    <row r="13" spans="1:37" ht="15" customHeight="1">
      <c r="A13" s="58" t="s">
        <v>243</v>
      </c>
      <c r="C13" s="58">
        <f>C7-'Rod Journals'!$O$2</f>
        <v>1.7999999999998018E-3</v>
      </c>
      <c r="D13" s="58">
        <f>D7-'Rod Journals'!$O$2</f>
        <v>1.6500000000001513E-3</v>
      </c>
      <c r="E13" s="58">
        <f>E7-'Rod Journals'!$O$2</f>
        <v>1.9000000000000128E-3</v>
      </c>
      <c r="F13" s="58">
        <f>F7-'Rod Journals'!$O$2</f>
        <v>1.7000000000000348E-3</v>
      </c>
      <c r="G13" s="58">
        <f>G7-'Rod Journals'!$O$2</f>
        <v>1.8500000000001293E-3</v>
      </c>
      <c r="H13" s="58">
        <f>H7-'Rod Journals'!$O$2</f>
        <v>1.7999999999998018E-3</v>
      </c>
      <c r="I13" s="58">
        <f>I7-'Rod Journals'!$O$2</f>
        <v>1.7000000000000348E-3</v>
      </c>
      <c r="J13" s="58">
        <f>J7-'Rod Journals'!$O$2</f>
        <v>1.7000000000000348E-3</v>
      </c>
      <c r="K13" s="58">
        <f t="shared" si="0"/>
        <v>1.6500000000001513E-3</v>
      </c>
      <c r="L13" s="58">
        <f t="shared" si="1"/>
        <v>1.9000000000000128E-3</v>
      </c>
      <c r="M13" s="58">
        <f>MODE(C13:J13)</f>
        <v>1.7000000000000348E-3</v>
      </c>
      <c r="N13" s="58">
        <f>MIN(C14:J14)-M13</f>
        <v>-3.5000000000007248E-4</v>
      </c>
      <c r="O13" s="58">
        <f>MAX(C15:J15)-M13</f>
        <v>2.9999999999974492E-4</v>
      </c>
    </row>
    <row r="14" spans="1:37" ht="15" customHeight="1">
      <c r="A14" s="58" t="s">
        <v>244</v>
      </c>
      <c r="C14" s="58">
        <f>C7-'Rod Journals'!$N$2</f>
        <v>1.4999999999996128E-3</v>
      </c>
      <c r="D14" s="58">
        <f>D7-'Rod Journals'!$N$2</f>
        <v>1.3499999999999623E-3</v>
      </c>
      <c r="E14" s="58">
        <f>E7-'Rod Journals'!$N$2</f>
        <v>1.5999999999998238E-3</v>
      </c>
      <c r="F14" s="58">
        <f>F7-'Rod Journals'!$N$2</f>
        <v>1.3999999999998458E-3</v>
      </c>
      <c r="G14" s="58">
        <f>G7-'Rod Journals'!$N$2</f>
        <v>1.5499999999999403E-3</v>
      </c>
      <c r="H14" s="58">
        <f>H7-'Rod Journals'!$N$2</f>
        <v>1.4999999999996128E-3</v>
      </c>
      <c r="I14" s="58">
        <f>I7-'Rod Journals'!$N$2</f>
        <v>1.3999999999998458E-3</v>
      </c>
      <c r="J14" s="58">
        <f>J7-'Rod Journals'!$N$2</f>
        <v>1.3999999999998458E-3</v>
      </c>
      <c r="K14" s="58">
        <f>K21-'Rod Journals'!$N$2</f>
        <v>1.1499999999999844E-3</v>
      </c>
    </row>
    <row r="15" spans="1:37" ht="15" customHeight="1">
      <c r="A15" s="58" t="s">
        <v>245</v>
      </c>
      <c r="C15" s="58">
        <f>C7-'Rod Journals'!$M$2</f>
        <v>1.8999999999995687E-3</v>
      </c>
      <c r="D15" s="58">
        <f>D7-'Rod Journals'!$M$2</f>
        <v>1.7499999999999183E-3</v>
      </c>
      <c r="E15" s="58">
        <f>E7-'Rod Journals'!$M$2</f>
        <v>1.9999999999997797E-3</v>
      </c>
      <c r="F15" s="58">
        <f>F7-'Rod Journals'!$M$2</f>
        <v>1.7999999999998018E-3</v>
      </c>
      <c r="G15" s="58">
        <f>G7-'Rod Journals'!$M$2</f>
        <v>1.9499999999998963E-3</v>
      </c>
      <c r="H15" s="58">
        <f>H7-'Rod Journals'!$M$2</f>
        <v>1.8999999999995687E-3</v>
      </c>
      <c r="I15" s="58">
        <f>I7-'Rod Journals'!$M$2</f>
        <v>1.7999999999998018E-3</v>
      </c>
      <c r="J15" s="58">
        <f>J7-'Rod Journals'!$M$2</f>
        <v>1.7999999999998018E-3</v>
      </c>
      <c r="L15" s="58">
        <f>L21-'Rod Journals'!$M$2</f>
        <v>1.9999999999997797E-3</v>
      </c>
    </row>
    <row r="16" spans="1:37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1.1499999999999844E-3</v>
      </c>
      <c r="L16" s="58">
        <f>L15</f>
        <v>1.9999999999997797E-3</v>
      </c>
      <c r="M16" s="58">
        <f>MODE(Q21:X32)</f>
        <v>1.5000000000000568E-3</v>
      </c>
      <c r="N16" s="58">
        <f>K16-M16</f>
        <v>-3.5000000000007248E-4</v>
      </c>
      <c r="O16" s="58">
        <f>L16-M16</f>
        <v>4.9999999999972289E-4</v>
      </c>
    </row>
    <row r="20" spans="1:29">
      <c r="B20" s="9" t="s">
        <v>356</v>
      </c>
      <c r="C20" s="78" t="s">
        <v>175</v>
      </c>
      <c r="D20" s="78" t="s">
        <v>176</v>
      </c>
      <c r="E20" s="78" t="s">
        <v>177</v>
      </c>
      <c r="F20" s="78" t="s">
        <v>178</v>
      </c>
      <c r="G20" s="78" t="s">
        <v>179</v>
      </c>
      <c r="H20" s="78" t="s">
        <v>180</v>
      </c>
      <c r="I20" s="78" t="s">
        <v>181</v>
      </c>
      <c r="J20" s="78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>
      <c r="A21" s="58" t="s">
        <v>199</v>
      </c>
      <c r="B21" s="9" t="s">
        <v>354</v>
      </c>
      <c r="C21" s="58">
        <f>C7</f>
        <v>2.0482999999999998</v>
      </c>
      <c r="D21" s="58">
        <f t="shared" ref="D21:J21" si="16">D7</f>
        <v>2.0481500000000001</v>
      </c>
      <c r="E21" s="58">
        <f t="shared" si="16"/>
        <v>2.0484</v>
      </c>
      <c r="F21" s="58">
        <f t="shared" si="16"/>
        <v>2.0482</v>
      </c>
      <c r="G21" s="58">
        <f t="shared" si="16"/>
        <v>2.0483500000000001</v>
      </c>
      <c r="H21" s="58">
        <f t="shared" si="16"/>
        <v>2.0482999999999998</v>
      </c>
      <c r="I21" s="58">
        <f t="shared" si="16"/>
        <v>2.0482</v>
      </c>
      <c r="J21" s="58">
        <f t="shared" si="16"/>
        <v>2.0482</v>
      </c>
      <c r="K21" s="58">
        <f>MIN(C21:J32)</f>
        <v>2.0479500000000002</v>
      </c>
      <c r="L21" s="58">
        <f>MAX(C21:K32)</f>
        <v>2.0484</v>
      </c>
      <c r="M21" s="58">
        <f>MODE(C21:L32)</f>
        <v>2.048</v>
      </c>
      <c r="N21" s="58">
        <f t="shared" ref="N21" si="17">K21-M21</f>
        <v>-4.9999999999883471E-5</v>
      </c>
      <c r="O21" s="58">
        <f t="shared" ref="O21" si="18">L21-M21</f>
        <v>3.9999999999995595E-4</v>
      </c>
      <c r="Q21" s="58">
        <f>C21-'Rod Journals'!$O$2</f>
        <v>1.7999999999998018E-3</v>
      </c>
      <c r="R21" s="58">
        <f>D21-'Rod Journals'!$O$2</f>
        <v>1.6500000000001513E-3</v>
      </c>
      <c r="S21" s="58">
        <f>E21-'Rod Journals'!$O$2</f>
        <v>1.9000000000000128E-3</v>
      </c>
      <c r="T21" s="58">
        <f>F21-'Rod Journals'!$O$2</f>
        <v>1.7000000000000348E-3</v>
      </c>
      <c r="U21" s="58">
        <f>G21-'Rod Journals'!$O$2</f>
        <v>1.8500000000001293E-3</v>
      </c>
      <c r="V21" s="58">
        <f>H21-'Rod Journals'!$O$2</f>
        <v>1.7999999999998018E-3</v>
      </c>
      <c r="W21" s="58">
        <f>I21-'Rod Journals'!$O$2</f>
        <v>1.7000000000000348E-3</v>
      </c>
      <c r="X21" s="58">
        <f>J21-'Rod Journals'!$O$2</f>
        <v>1.7000000000000348E-3</v>
      </c>
      <c r="Y21" s="58">
        <f>MIN(Q21:X32)</f>
        <v>1.4500000000001734E-3</v>
      </c>
      <c r="Z21" s="58">
        <f>MAX(Q21:Y32)</f>
        <v>1.9000000000000128E-3</v>
      </c>
      <c r="AA21" s="58">
        <f>MODE(Q21:Z32)</f>
        <v>1.5000000000000568E-3</v>
      </c>
      <c r="AB21" s="58">
        <f t="shared" ref="AB21" si="19">Y21-AA21</f>
        <v>-4.9999999999883471E-5</v>
      </c>
      <c r="AC21" s="58">
        <f t="shared" ref="AC21" si="20">Z21-AA21</f>
        <v>3.9999999999995595E-4</v>
      </c>
    </row>
    <row r="22" spans="1:29">
      <c r="A22" s="58" t="s">
        <v>200</v>
      </c>
      <c r="B22" s="9" t="s">
        <v>355</v>
      </c>
      <c r="C22" s="58">
        <v>2.048</v>
      </c>
      <c r="D22" s="58">
        <v>2.0479500000000002</v>
      </c>
      <c r="E22" s="58">
        <v>2.048</v>
      </c>
      <c r="F22" s="58">
        <v>2.048</v>
      </c>
      <c r="G22" s="58">
        <v>2.0480499999999999</v>
      </c>
      <c r="H22" s="58">
        <v>2.048</v>
      </c>
      <c r="I22" s="58">
        <v>2.048</v>
      </c>
      <c r="J22" s="58">
        <v>2.048</v>
      </c>
      <c r="Q22" s="58">
        <f>C22-'Rod Journals'!$O$2</f>
        <v>1.5000000000000568E-3</v>
      </c>
      <c r="R22" s="58">
        <f>D22-'Rod Journals'!$O$2</f>
        <v>1.4500000000001734E-3</v>
      </c>
      <c r="S22" s="58">
        <f>E22-'Rod Journals'!$O$2</f>
        <v>1.5000000000000568E-3</v>
      </c>
      <c r="T22" s="58">
        <f>F22-'Rod Journals'!$O$2</f>
        <v>1.5000000000000568E-3</v>
      </c>
      <c r="U22" s="58">
        <f>G22-'Rod Journals'!$O$2</f>
        <v>1.5499999999999403E-3</v>
      </c>
      <c r="V22" s="58">
        <f>H22-'Rod Journals'!$O$2</f>
        <v>1.5000000000000568E-3</v>
      </c>
      <c r="W22" s="58">
        <f>I22-'Rod Journals'!$O$2</f>
        <v>1.5000000000000568E-3</v>
      </c>
      <c r="X22" s="58">
        <f>J22-'Rod Journals'!$O$2</f>
        <v>1.5000000000000568E-3</v>
      </c>
    </row>
    <row r="23" spans="1:29">
      <c r="A23" s="58" t="s">
        <v>201</v>
      </c>
      <c r="Q23" s="58"/>
      <c r="R23" s="58"/>
      <c r="S23" s="58"/>
      <c r="T23" s="58"/>
      <c r="U23" s="58"/>
      <c r="V23" s="58"/>
      <c r="W23" s="58"/>
      <c r="X23" s="58"/>
    </row>
    <row r="24" spans="1:29">
      <c r="A24" s="58" t="s">
        <v>202</v>
      </c>
    </row>
    <row r="25" spans="1:29">
      <c r="A25" s="58" t="s">
        <v>203</v>
      </c>
    </row>
    <row r="26" spans="1:29">
      <c r="A26" s="58" t="s">
        <v>204</v>
      </c>
    </row>
    <row r="27" spans="1:29">
      <c r="A27" s="58" t="s">
        <v>205</v>
      </c>
    </row>
    <row r="28" spans="1:29">
      <c r="A28" s="58" t="s">
        <v>206</v>
      </c>
    </row>
    <row r="29" spans="1:29">
      <c r="A29" s="58" t="s">
        <v>207</v>
      </c>
    </row>
    <row r="30" spans="1:29">
      <c r="A30" s="58" t="s">
        <v>208</v>
      </c>
    </row>
    <row r="31" spans="1:29">
      <c r="A31" s="58" t="s">
        <v>209</v>
      </c>
    </row>
    <row r="32" spans="1:29">
      <c r="A32" s="58" t="s">
        <v>210</v>
      </c>
    </row>
  </sheetData>
  <mergeCells count="1">
    <mergeCell ref="Q2:X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K54"/>
  <sheetViews>
    <sheetView topLeftCell="I1" workbookViewId="0">
      <selection activeCell="AA5" sqref="AA5"/>
    </sheetView>
  </sheetViews>
  <sheetFormatPr defaultRowHeight="15"/>
  <cols>
    <col min="1" max="1" width="14" style="58" bestFit="1" customWidth="1"/>
    <col min="2" max="2" width="9.140625" style="9"/>
    <col min="3" max="6" width="9.140625" style="58"/>
    <col min="7" max="9" width="9.5703125" style="58" bestFit="1" customWidth="1"/>
    <col min="10" max="15" width="9.140625" style="58"/>
    <col min="16" max="16384" width="9.140625" style="9"/>
  </cols>
  <sheetData>
    <row r="1" spans="1:37" ht="15" customHeight="1">
      <c r="A1" s="58" t="s">
        <v>239</v>
      </c>
      <c r="B1" s="9" t="s">
        <v>361</v>
      </c>
      <c r="C1" s="80" t="s">
        <v>175</v>
      </c>
      <c r="D1" s="80" t="s">
        <v>176</v>
      </c>
      <c r="E1" s="80" t="s">
        <v>177</v>
      </c>
      <c r="F1" s="80" t="s">
        <v>178</v>
      </c>
      <c r="G1" s="80" t="s">
        <v>179</v>
      </c>
      <c r="H1" s="80" t="s">
        <v>180</v>
      </c>
      <c r="I1" s="80" t="s">
        <v>181</v>
      </c>
      <c r="J1" s="80" t="s">
        <v>182</v>
      </c>
      <c r="K1" s="80" t="s">
        <v>195</v>
      </c>
      <c r="L1" s="80" t="s">
        <v>183</v>
      </c>
      <c r="M1" s="80" t="s">
        <v>184</v>
      </c>
      <c r="N1" s="80" t="s">
        <v>185</v>
      </c>
      <c r="O1" s="80" t="s">
        <v>186</v>
      </c>
    </row>
    <row r="2" spans="1:37" ht="15" customHeight="1">
      <c r="B2" s="9" t="s">
        <v>241</v>
      </c>
      <c r="C2" s="58">
        <v>70.3</v>
      </c>
      <c r="D2" s="58">
        <v>71.900000000000006</v>
      </c>
      <c r="E2" s="58">
        <v>70.7</v>
      </c>
      <c r="F2" s="58">
        <v>70.5</v>
      </c>
      <c r="G2" s="58">
        <v>71.099999999999994</v>
      </c>
      <c r="H2" s="58">
        <v>71.5</v>
      </c>
      <c r="I2" s="58">
        <v>71.2</v>
      </c>
      <c r="J2" s="58">
        <v>71.900000000000006</v>
      </c>
      <c r="Q2" s="101" t="s">
        <v>270</v>
      </c>
      <c r="R2" s="101"/>
      <c r="S2" s="101"/>
      <c r="T2" s="101"/>
      <c r="U2" s="101"/>
      <c r="V2" s="101"/>
      <c r="W2" s="101"/>
      <c r="X2" s="101"/>
    </row>
    <row r="3" spans="1:37" ht="15" customHeight="1">
      <c r="B3" s="9" t="s">
        <v>364</v>
      </c>
      <c r="C3" s="80" t="s">
        <v>175</v>
      </c>
      <c r="D3" s="80" t="s">
        <v>176</v>
      </c>
      <c r="E3" s="80" t="s">
        <v>177</v>
      </c>
      <c r="F3" s="80" t="s">
        <v>178</v>
      </c>
      <c r="G3" s="80" t="s">
        <v>179</v>
      </c>
      <c r="H3" s="80" t="s">
        <v>180</v>
      </c>
      <c r="I3" s="80" t="s">
        <v>181</v>
      </c>
      <c r="J3" s="80" t="s">
        <v>182</v>
      </c>
      <c r="P3" s="9" t="s">
        <v>364</v>
      </c>
      <c r="Q3" s="86" t="s">
        <v>405</v>
      </c>
      <c r="R3" s="88" t="s">
        <v>406</v>
      </c>
      <c r="S3" s="88" t="s">
        <v>407</v>
      </c>
      <c r="T3" s="88" t="s">
        <v>408</v>
      </c>
      <c r="U3" s="88" t="s">
        <v>409</v>
      </c>
      <c r="V3" s="88" t="s">
        <v>410</v>
      </c>
      <c r="W3" s="88" t="s">
        <v>411</v>
      </c>
      <c r="X3" s="88" t="s">
        <v>412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  <c r="AD3" s="88" t="s">
        <v>175</v>
      </c>
      <c r="AE3" s="88" t="s">
        <v>176</v>
      </c>
      <c r="AF3" s="88" t="s">
        <v>177</v>
      </c>
      <c r="AG3" s="88" t="s">
        <v>178</v>
      </c>
      <c r="AH3" s="88" t="s">
        <v>179</v>
      </c>
      <c r="AI3" s="88" t="s">
        <v>180</v>
      </c>
      <c r="AJ3" s="88" t="s">
        <v>181</v>
      </c>
      <c r="AK3" s="88" t="s">
        <v>182</v>
      </c>
    </row>
    <row r="4" spans="1:37" ht="15" customHeight="1">
      <c r="A4" s="58">
        <v>5</v>
      </c>
      <c r="B4" s="84">
        <v>5</v>
      </c>
      <c r="C4" s="58">
        <f>C28+0.0001</f>
        <v>2.0528000000000004</v>
      </c>
      <c r="D4" s="58">
        <f t="shared" ref="D4:J4" si="0">D28+0.0001</f>
        <v>2.052</v>
      </c>
      <c r="E4" s="58">
        <f t="shared" si="0"/>
        <v>2.0530500000000003</v>
      </c>
      <c r="F4" s="58">
        <f t="shared" si="0"/>
        <v>2.0519000000000003</v>
      </c>
      <c r="G4" s="58">
        <f t="shared" si="0"/>
        <v>2.0527000000000002</v>
      </c>
      <c r="H4" s="58">
        <f t="shared" si="0"/>
        <v>2.0529000000000002</v>
      </c>
      <c r="I4" s="58">
        <f t="shared" si="0"/>
        <v>2.0523500000000001</v>
      </c>
      <c r="J4" s="58">
        <f t="shared" si="0"/>
        <v>2.0522500000000004</v>
      </c>
      <c r="K4" s="58">
        <f t="shared" ref="K4:K13" si="1">MIN(C4:J4)</f>
        <v>2.0519000000000003</v>
      </c>
      <c r="L4" s="58">
        <f t="shared" ref="L4:L13" si="2">MAX(C4:J4)</f>
        <v>2.0530500000000003</v>
      </c>
      <c r="M4" s="58">
        <f>AVERAGE(C4:J4)</f>
        <v>2.0524937500000004</v>
      </c>
      <c r="N4" s="58">
        <f t="shared" ref="N4:N11" si="3">K4-M4</f>
        <v>-5.9375000000017053E-4</v>
      </c>
      <c r="O4" s="58">
        <f t="shared" ref="O4:O11" si="4">L4-M4</f>
        <v>5.5624999999981384E-4</v>
      </c>
      <c r="P4" s="84">
        <v>5</v>
      </c>
      <c r="Q4" s="58">
        <f t="shared" ref="Q4:X10" si="5">C4-C$7</f>
        <v>4.1999999999999815E-3</v>
      </c>
      <c r="R4" s="58">
        <f t="shared" si="5"/>
        <v>3.1499999999997641E-3</v>
      </c>
      <c r="S4" s="58">
        <f t="shared" si="5"/>
        <v>4.350000000000076E-3</v>
      </c>
      <c r="T4" s="58">
        <f t="shared" si="5"/>
        <v>2.8999999999999027E-3</v>
      </c>
      <c r="U4" s="58">
        <f t="shared" si="5"/>
        <v>3.4999999999998366E-3</v>
      </c>
      <c r="V4" s="58">
        <f t="shared" si="5"/>
        <v>4.1500000000000981E-3</v>
      </c>
      <c r="W4" s="58">
        <f t="shared" si="5"/>
        <v>3.3499999999997421E-3</v>
      </c>
      <c r="X4" s="58">
        <f t="shared" si="5"/>
        <v>3.4000000000000696E-3</v>
      </c>
      <c r="Y4" s="58">
        <f t="shared" ref="Y4:Y10" si="6">MIN(Q4:X4)</f>
        <v>2.8999999999999027E-3</v>
      </c>
      <c r="Z4" s="58">
        <f t="shared" ref="Z4:Z10" si="7">MAX(Q4:X4)</f>
        <v>4.350000000000076E-3</v>
      </c>
      <c r="AA4" s="58">
        <f>AVERAGE(Q4:X4)</f>
        <v>3.6249999999999338E-3</v>
      </c>
      <c r="AB4" s="58">
        <f t="shared" ref="AB4:AB11" si="8">Y4-AA4</f>
        <v>-7.2500000000003118E-4</v>
      </c>
      <c r="AC4" s="58">
        <f t="shared" ref="AC4:AC11" si="9">Z4-AA4</f>
        <v>7.250000000001422E-4</v>
      </c>
      <c r="AD4" s="95">
        <v>5</v>
      </c>
      <c r="AE4" s="95">
        <v>5</v>
      </c>
      <c r="AF4" s="95">
        <v>5</v>
      </c>
      <c r="AG4" s="95">
        <v>5</v>
      </c>
      <c r="AH4" s="95">
        <v>5</v>
      </c>
      <c r="AI4" s="95">
        <v>5</v>
      </c>
      <c r="AJ4" s="95">
        <v>5</v>
      </c>
      <c r="AK4" s="95">
        <v>5</v>
      </c>
    </row>
    <row r="5" spans="1:37" ht="15" customHeight="1">
      <c r="A5" s="58">
        <v>19.75</v>
      </c>
      <c r="B5" s="84">
        <v>19.75</v>
      </c>
      <c r="C5" s="58">
        <f t="shared" ref="C5:J10" si="10">C29+0.0001</f>
        <v>2.0505</v>
      </c>
      <c r="D5" s="58">
        <f t="shared" si="10"/>
        <v>2.0504000000000002</v>
      </c>
      <c r="E5" s="58">
        <f t="shared" si="10"/>
        <v>2.0503</v>
      </c>
      <c r="F5" s="58">
        <f t="shared" si="10"/>
        <v>2.0503</v>
      </c>
      <c r="G5" s="58">
        <f t="shared" si="10"/>
        <v>2.0507000000000004</v>
      </c>
      <c r="H5" s="58">
        <f t="shared" si="10"/>
        <v>2.0505500000000003</v>
      </c>
      <c r="I5" s="58">
        <f t="shared" si="10"/>
        <v>2.0506500000000001</v>
      </c>
      <c r="J5" s="58">
        <f t="shared" si="10"/>
        <v>2.0502500000000001</v>
      </c>
      <c r="K5" s="58">
        <f t="shared" si="1"/>
        <v>2.0502500000000001</v>
      </c>
      <c r="L5" s="58">
        <f t="shared" si="2"/>
        <v>2.0507000000000004</v>
      </c>
      <c r="M5" s="58">
        <f t="shared" ref="M5:M10" si="11">AVERAGE(C5:J5)</f>
        <v>2.0504562499999999</v>
      </c>
      <c r="N5" s="58">
        <f t="shared" si="3"/>
        <v>-2.0624999999974136E-4</v>
      </c>
      <c r="O5" s="58">
        <f t="shared" si="4"/>
        <v>2.4375000000054214E-4</v>
      </c>
      <c r="P5" s="84">
        <v>19.75</v>
      </c>
      <c r="Q5" s="58">
        <f t="shared" si="5"/>
        <v>1.8999999999995687E-3</v>
      </c>
      <c r="R5" s="58">
        <f t="shared" si="5"/>
        <v>1.5499999999999403E-3</v>
      </c>
      <c r="S5" s="58">
        <f t="shared" si="5"/>
        <v>1.5999999999998238E-3</v>
      </c>
      <c r="T5" s="58">
        <f t="shared" si="5"/>
        <v>1.2999999999996348E-3</v>
      </c>
      <c r="U5" s="58">
        <f t="shared" si="5"/>
        <v>1.5000000000000568E-3</v>
      </c>
      <c r="V5" s="58">
        <f t="shared" si="5"/>
        <v>1.8000000000002458E-3</v>
      </c>
      <c r="W5" s="58">
        <f t="shared" si="5"/>
        <v>1.6499999999997073E-3</v>
      </c>
      <c r="X5" s="58">
        <f t="shared" si="5"/>
        <v>1.3999999999998458E-3</v>
      </c>
      <c r="Y5" s="58">
        <f t="shared" si="6"/>
        <v>1.2999999999996348E-3</v>
      </c>
      <c r="Z5" s="58">
        <f t="shared" si="7"/>
        <v>1.8999999999995687E-3</v>
      </c>
      <c r="AA5" s="58">
        <f t="shared" ref="AA5:AA10" si="12">AVERAGE(Q5:X5)</f>
        <v>1.5874999999998529E-3</v>
      </c>
      <c r="AB5" s="58">
        <f t="shared" si="8"/>
        <v>-2.8750000000021814E-4</v>
      </c>
      <c r="AC5" s="58">
        <f t="shared" si="9"/>
        <v>3.1249999999971578E-4</v>
      </c>
      <c r="AD5" s="95">
        <v>19.75</v>
      </c>
      <c r="AE5" s="95">
        <v>19.75</v>
      </c>
      <c r="AF5" s="95">
        <v>19.75</v>
      </c>
      <c r="AG5" s="95">
        <v>19.75</v>
      </c>
      <c r="AH5" s="95">
        <v>19.75</v>
      </c>
      <c r="AI5" s="95">
        <v>19.75</v>
      </c>
      <c r="AJ5" s="95">
        <v>19.75</v>
      </c>
      <c r="AK5" s="95">
        <v>19.75</v>
      </c>
    </row>
    <row r="6" spans="1:37" ht="15" customHeight="1">
      <c r="A6" s="58">
        <v>45</v>
      </c>
      <c r="B6" s="84">
        <v>45</v>
      </c>
      <c r="C6" s="58">
        <f t="shared" si="10"/>
        <v>2.0493000000000001</v>
      </c>
      <c r="D6" s="58">
        <f t="shared" si="10"/>
        <v>2.0491000000000001</v>
      </c>
      <c r="E6" s="58">
        <f t="shared" si="10"/>
        <v>2.0492000000000004</v>
      </c>
      <c r="F6" s="58">
        <f t="shared" si="10"/>
        <v>2.04935</v>
      </c>
      <c r="G6" s="58">
        <f t="shared" si="10"/>
        <v>2.0496500000000002</v>
      </c>
      <c r="H6" s="58">
        <f t="shared" si="10"/>
        <v>2.0494000000000003</v>
      </c>
      <c r="I6" s="58">
        <f t="shared" si="10"/>
        <v>2.0496500000000002</v>
      </c>
      <c r="J6" s="58">
        <f t="shared" si="10"/>
        <v>2.0494000000000003</v>
      </c>
      <c r="K6" s="58">
        <f t="shared" si="1"/>
        <v>2.0491000000000001</v>
      </c>
      <c r="L6" s="58">
        <f t="shared" si="2"/>
        <v>2.0496500000000002</v>
      </c>
      <c r="M6" s="58">
        <f t="shared" si="11"/>
        <v>2.0493812500000002</v>
      </c>
      <c r="N6" s="58">
        <f t="shared" si="3"/>
        <v>-2.8125000000001066E-4</v>
      </c>
      <c r="O6" s="58">
        <f t="shared" si="4"/>
        <v>2.6875000000003979E-4</v>
      </c>
      <c r="P6" s="84">
        <v>45</v>
      </c>
      <c r="Q6" s="58">
        <f t="shared" si="5"/>
        <v>6.9999999999970086E-4</v>
      </c>
      <c r="R6" s="58">
        <f t="shared" si="5"/>
        <v>2.4999999999986144E-4</v>
      </c>
      <c r="S6" s="58">
        <f t="shared" si="5"/>
        <v>5.0000000000016698E-4</v>
      </c>
      <c r="T6" s="58">
        <f t="shared" si="5"/>
        <v>3.4999999999962839E-4</v>
      </c>
      <c r="U6" s="58">
        <f t="shared" si="5"/>
        <v>4.4999999999983942E-4</v>
      </c>
      <c r="V6" s="58">
        <f t="shared" si="5"/>
        <v>6.5000000000026148E-4</v>
      </c>
      <c r="W6" s="58">
        <f t="shared" si="5"/>
        <v>6.4999999999981739E-4</v>
      </c>
      <c r="X6" s="58">
        <f t="shared" si="5"/>
        <v>5.5000000000005045E-4</v>
      </c>
      <c r="Y6" s="58">
        <f t="shared" si="6"/>
        <v>2.4999999999986144E-4</v>
      </c>
      <c r="Z6" s="58">
        <f t="shared" si="7"/>
        <v>6.9999999999970086E-4</v>
      </c>
      <c r="AA6" s="58">
        <f t="shared" si="12"/>
        <v>5.124999999999158E-4</v>
      </c>
      <c r="AB6" s="58">
        <f t="shared" si="8"/>
        <v>-2.6250000000005436E-4</v>
      </c>
      <c r="AC6" s="58">
        <f t="shared" si="9"/>
        <v>1.8749999999978506E-4</v>
      </c>
      <c r="AD6" s="95">
        <v>45</v>
      </c>
      <c r="AE6" s="95">
        <v>45</v>
      </c>
      <c r="AF6" s="95">
        <v>45</v>
      </c>
      <c r="AG6" s="95">
        <v>45</v>
      </c>
      <c r="AH6" s="95">
        <v>45</v>
      </c>
      <c r="AI6" s="95">
        <v>45</v>
      </c>
      <c r="AJ6" s="95">
        <v>45</v>
      </c>
      <c r="AK6" s="95">
        <v>45</v>
      </c>
    </row>
    <row r="7" spans="1:37" ht="15" customHeight="1">
      <c r="A7" s="58">
        <v>90</v>
      </c>
      <c r="B7" s="84">
        <v>90</v>
      </c>
      <c r="C7" s="58">
        <f t="shared" si="10"/>
        <v>2.0486000000000004</v>
      </c>
      <c r="D7" s="58">
        <f t="shared" si="10"/>
        <v>2.0488500000000003</v>
      </c>
      <c r="E7" s="58">
        <f t="shared" si="10"/>
        <v>2.0487000000000002</v>
      </c>
      <c r="F7" s="58">
        <f t="shared" si="10"/>
        <v>2.0490000000000004</v>
      </c>
      <c r="G7" s="58">
        <f t="shared" si="10"/>
        <v>2.0492000000000004</v>
      </c>
      <c r="H7" s="58">
        <f t="shared" si="10"/>
        <v>2.0487500000000001</v>
      </c>
      <c r="I7" s="58">
        <f t="shared" si="10"/>
        <v>2.0490000000000004</v>
      </c>
      <c r="J7" s="58">
        <f t="shared" si="10"/>
        <v>2.0488500000000003</v>
      </c>
      <c r="K7" s="58">
        <f t="shared" si="1"/>
        <v>2.0486000000000004</v>
      </c>
      <c r="L7" s="58">
        <f t="shared" si="2"/>
        <v>2.0492000000000004</v>
      </c>
      <c r="M7" s="58">
        <f t="shared" si="11"/>
        <v>2.0488687500000005</v>
      </c>
      <c r="N7" s="58">
        <f t="shared" si="3"/>
        <v>-2.6875000000003979E-4</v>
      </c>
      <c r="O7" s="58">
        <f t="shared" si="4"/>
        <v>3.3124999999989413E-4</v>
      </c>
      <c r="P7" s="84">
        <v>90</v>
      </c>
      <c r="Q7" s="58">
        <f>C7-C$7</f>
        <v>0</v>
      </c>
      <c r="R7" s="58">
        <f t="shared" si="5"/>
        <v>0</v>
      </c>
      <c r="S7" s="58">
        <f t="shared" si="5"/>
        <v>0</v>
      </c>
      <c r="T7" s="58">
        <f t="shared" si="5"/>
        <v>0</v>
      </c>
      <c r="U7" s="58">
        <f t="shared" si="5"/>
        <v>0</v>
      </c>
      <c r="V7" s="58">
        <f t="shared" si="5"/>
        <v>0</v>
      </c>
      <c r="W7" s="58">
        <f t="shared" si="5"/>
        <v>0</v>
      </c>
      <c r="X7" s="58">
        <f t="shared" si="5"/>
        <v>0</v>
      </c>
      <c r="Y7" s="58">
        <f t="shared" si="6"/>
        <v>0</v>
      </c>
      <c r="Z7" s="58">
        <f t="shared" si="7"/>
        <v>0</v>
      </c>
      <c r="AA7" s="58">
        <f t="shared" si="12"/>
        <v>0</v>
      </c>
      <c r="AB7" s="58">
        <f t="shared" si="8"/>
        <v>0</v>
      </c>
      <c r="AC7" s="58">
        <f t="shared" si="9"/>
        <v>0</v>
      </c>
      <c r="AD7" s="95">
        <v>90</v>
      </c>
      <c r="AE7" s="95">
        <v>90</v>
      </c>
      <c r="AF7" s="95">
        <v>90</v>
      </c>
      <c r="AG7" s="95">
        <v>90</v>
      </c>
      <c r="AH7" s="95">
        <v>90</v>
      </c>
      <c r="AI7" s="95">
        <v>90</v>
      </c>
      <c r="AJ7" s="95">
        <v>90</v>
      </c>
      <c r="AK7" s="95">
        <v>90</v>
      </c>
    </row>
    <row r="8" spans="1:37" ht="15" customHeight="1">
      <c r="A8" s="58">
        <v>135</v>
      </c>
      <c r="B8" s="84">
        <v>135</v>
      </c>
      <c r="C8" s="58">
        <f t="shared" si="10"/>
        <v>2.0490000000000004</v>
      </c>
      <c r="D8" s="58">
        <f t="shared" si="10"/>
        <v>2.0493000000000001</v>
      </c>
      <c r="E8" s="58">
        <f t="shared" si="10"/>
        <v>2.0492000000000004</v>
      </c>
      <c r="F8" s="58">
        <f t="shared" si="10"/>
        <v>2.0494000000000003</v>
      </c>
      <c r="G8" s="58">
        <f t="shared" si="10"/>
        <v>2.0491000000000001</v>
      </c>
      <c r="H8" s="58">
        <f t="shared" si="10"/>
        <v>2.0491000000000001</v>
      </c>
      <c r="I8" s="58">
        <f t="shared" si="10"/>
        <v>2.0493000000000001</v>
      </c>
      <c r="J8" s="58">
        <f t="shared" si="10"/>
        <v>2.0492000000000004</v>
      </c>
      <c r="K8" s="58">
        <f t="shared" si="1"/>
        <v>2.0490000000000004</v>
      </c>
      <c r="L8" s="58">
        <f t="shared" si="2"/>
        <v>2.0494000000000003</v>
      </c>
      <c r="M8" s="58">
        <f t="shared" si="11"/>
        <v>2.0492000000000004</v>
      </c>
      <c r="N8" s="58">
        <f t="shared" si="3"/>
        <v>-1.9999999999997797E-4</v>
      </c>
      <c r="O8" s="58">
        <f t="shared" si="4"/>
        <v>1.9999999999997797E-4</v>
      </c>
      <c r="P8" s="84">
        <v>135</v>
      </c>
      <c r="Q8" s="58">
        <f t="shared" si="5"/>
        <v>3.9999999999995595E-4</v>
      </c>
      <c r="R8" s="58">
        <f t="shared" si="5"/>
        <v>4.4999999999983942E-4</v>
      </c>
      <c r="S8" s="58">
        <f t="shared" si="5"/>
        <v>5.0000000000016698E-4</v>
      </c>
      <c r="T8" s="58">
        <f t="shared" si="5"/>
        <v>3.9999999999995595E-4</v>
      </c>
      <c r="U8" s="58">
        <f t="shared" si="5"/>
        <v>-1.0000000000021103E-4</v>
      </c>
      <c r="V8" s="58">
        <f t="shared" si="5"/>
        <v>3.5000000000007248E-4</v>
      </c>
      <c r="W8" s="58">
        <f t="shared" si="5"/>
        <v>2.9999999999974492E-4</v>
      </c>
      <c r="X8" s="58">
        <f t="shared" si="5"/>
        <v>3.5000000000007248E-4</v>
      </c>
      <c r="Y8" s="58">
        <f t="shared" si="6"/>
        <v>-1.0000000000021103E-4</v>
      </c>
      <c r="Z8" s="58">
        <f t="shared" si="7"/>
        <v>5.0000000000016698E-4</v>
      </c>
      <c r="AA8" s="58">
        <f t="shared" si="12"/>
        <v>3.3124999999994964E-4</v>
      </c>
      <c r="AB8" s="58">
        <f t="shared" si="8"/>
        <v>-4.3125000000016067E-4</v>
      </c>
      <c r="AC8" s="58">
        <f t="shared" si="9"/>
        <v>1.6875000000021734E-4</v>
      </c>
      <c r="AD8" s="95">
        <v>135</v>
      </c>
      <c r="AE8" s="95">
        <v>135</v>
      </c>
      <c r="AF8" s="95">
        <v>135</v>
      </c>
      <c r="AG8" s="95">
        <v>135</v>
      </c>
      <c r="AH8" s="95">
        <v>135</v>
      </c>
      <c r="AI8" s="95">
        <v>135</v>
      </c>
      <c r="AJ8" s="95">
        <v>135</v>
      </c>
      <c r="AK8" s="95">
        <v>135</v>
      </c>
    </row>
    <row r="9" spans="1:37" ht="15" customHeight="1">
      <c r="A9" s="58">
        <v>160.25</v>
      </c>
      <c r="B9" s="84">
        <v>160.25</v>
      </c>
      <c r="C9" s="58">
        <f t="shared" si="10"/>
        <v>2.0501</v>
      </c>
      <c r="D9" s="58">
        <f t="shared" si="10"/>
        <v>2.0505</v>
      </c>
      <c r="E9" s="58">
        <f t="shared" si="10"/>
        <v>2.0504500000000001</v>
      </c>
      <c r="F9" s="58">
        <f t="shared" si="10"/>
        <v>2.0506500000000001</v>
      </c>
      <c r="G9" s="58">
        <f t="shared" si="10"/>
        <v>2.0501</v>
      </c>
      <c r="H9" s="58">
        <f t="shared" si="10"/>
        <v>2.0501</v>
      </c>
      <c r="I9" s="58">
        <f t="shared" si="10"/>
        <v>2.0500000000000003</v>
      </c>
      <c r="J9" s="58">
        <f t="shared" si="10"/>
        <v>2.0500500000000001</v>
      </c>
      <c r="K9" s="58">
        <f t="shared" si="1"/>
        <v>2.0500000000000003</v>
      </c>
      <c r="L9" s="58">
        <f t="shared" si="2"/>
        <v>2.0506500000000001</v>
      </c>
      <c r="M9" s="58">
        <f t="shared" si="11"/>
        <v>2.0502437499999999</v>
      </c>
      <c r="N9" s="58">
        <f t="shared" si="3"/>
        <v>-2.4374999999965397E-4</v>
      </c>
      <c r="O9" s="58">
        <f t="shared" si="4"/>
        <v>4.0625000000016342E-4</v>
      </c>
      <c r="P9" s="84">
        <v>160.25</v>
      </c>
      <c r="Q9" s="58">
        <f t="shared" si="5"/>
        <v>1.4999999999996128E-3</v>
      </c>
      <c r="R9" s="58">
        <f t="shared" si="5"/>
        <v>1.6499999999997073E-3</v>
      </c>
      <c r="S9" s="58">
        <f t="shared" si="5"/>
        <v>1.7499999999999183E-3</v>
      </c>
      <c r="T9" s="58">
        <f t="shared" si="5"/>
        <v>1.6499999999997073E-3</v>
      </c>
      <c r="U9" s="58">
        <f t="shared" si="5"/>
        <v>8.9999999999967883E-4</v>
      </c>
      <c r="V9" s="58">
        <f t="shared" si="5"/>
        <v>1.3499999999999623E-3</v>
      </c>
      <c r="W9" s="58">
        <f t="shared" si="5"/>
        <v>9.9999999999988987E-4</v>
      </c>
      <c r="X9" s="58">
        <f t="shared" si="5"/>
        <v>1.1999999999998678E-3</v>
      </c>
      <c r="Y9" s="58">
        <f t="shared" si="6"/>
        <v>8.9999999999967883E-4</v>
      </c>
      <c r="Z9" s="58">
        <f t="shared" si="7"/>
        <v>1.7499999999999183E-3</v>
      </c>
      <c r="AA9" s="58">
        <f t="shared" si="12"/>
        <v>1.3749999999997931E-3</v>
      </c>
      <c r="AB9" s="58">
        <f t="shared" si="8"/>
        <v>-4.7500000000011422E-4</v>
      </c>
      <c r="AC9" s="58">
        <f t="shared" si="9"/>
        <v>3.7500000000012523E-4</v>
      </c>
      <c r="AD9" s="95">
        <v>160.25</v>
      </c>
      <c r="AE9" s="95">
        <v>160.25</v>
      </c>
      <c r="AF9" s="95">
        <v>160.25</v>
      </c>
      <c r="AG9" s="95">
        <v>160.25</v>
      </c>
      <c r="AH9" s="95">
        <v>160.25</v>
      </c>
      <c r="AI9" s="95">
        <v>160.25</v>
      </c>
      <c r="AJ9" s="95">
        <v>160.25</v>
      </c>
      <c r="AK9" s="95">
        <v>160.25</v>
      </c>
    </row>
    <row r="10" spans="1:37" ht="15" customHeight="1">
      <c r="A10" s="58">
        <v>175</v>
      </c>
      <c r="B10" s="84">
        <v>175</v>
      </c>
      <c r="C10" s="58">
        <f t="shared" si="10"/>
        <v>2.05315</v>
      </c>
      <c r="D10" s="58">
        <f t="shared" si="10"/>
        <v>2.0520500000000004</v>
      </c>
      <c r="E10" s="58">
        <f t="shared" si="10"/>
        <v>2.0528000000000004</v>
      </c>
      <c r="F10" s="58">
        <f t="shared" si="10"/>
        <v>2.0529000000000002</v>
      </c>
      <c r="G10" s="58">
        <f t="shared" si="10"/>
        <v>2.0526000000000004</v>
      </c>
      <c r="H10" s="58">
        <f t="shared" si="10"/>
        <v>2.0527000000000002</v>
      </c>
      <c r="I10" s="58">
        <f t="shared" si="10"/>
        <v>2.0525000000000002</v>
      </c>
      <c r="J10" s="58">
        <f t="shared" si="10"/>
        <v>2.0519000000000003</v>
      </c>
      <c r="K10" s="58">
        <f t="shared" si="1"/>
        <v>2.0519000000000003</v>
      </c>
      <c r="L10" s="58">
        <f t="shared" si="2"/>
        <v>2.05315</v>
      </c>
      <c r="M10" s="58">
        <f t="shared" si="11"/>
        <v>2.052575</v>
      </c>
      <c r="N10" s="58">
        <f t="shared" si="3"/>
        <v>-6.7499999999975913E-4</v>
      </c>
      <c r="O10" s="58">
        <f t="shared" si="4"/>
        <v>5.7499999999999218E-4</v>
      </c>
      <c r="P10" s="84">
        <v>175</v>
      </c>
      <c r="Q10" s="58">
        <f t="shared" si="5"/>
        <v>4.5499999999996099E-3</v>
      </c>
      <c r="R10" s="58">
        <f t="shared" si="5"/>
        <v>3.2000000000000917E-3</v>
      </c>
      <c r="S10" s="58">
        <f t="shared" si="5"/>
        <v>4.1000000000002146E-3</v>
      </c>
      <c r="T10" s="58">
        <f t="shared" si="5"/>
        <v>3.8999999999997925E-3</v>
      </c>
      <c r="U10" s="58">
        <f t="shared" si="5"/>
        <v>3.4000000000000696E-3</v>
      </c>
      <c r="V10" s="58">
        <f t="shared" si="5"/>
        <v>3.9500000000001201E-3</v>
      </c>
      <c r="W10" s="58">
        <f t="shared" si="5"/>
        <v>3.4999999999998366E-3</v>
      </c>
      <c r="X10" s="58">
        <f t="shared" si="5"/>
        <v>3.0499999999999972E-3</v>
      </c>
      <c r="Y10" s="58">
        <f t="shared" si="6"/>
        <v>3.0499999999999972E-3</v>
      </c>
      <c r="Z10" s="58">
        <f t="shared" si="7"/>
        <v>4.5499999999996099E-3</v>
      </c>
      <c r="AA10" s="58">
        <f t="shared" si="12"/>
        <v>3.7062499999999665E-3</v>
      </c>
      <c r="AB10" s="58">
        <f t="shared" si="8"/>
        <v>-6.5624999999996936E-4</v>
      </c>
      <c r="AC10" s="58">
        <f t="shared" si="9"/>
        <v>8.437499999996434E-4</v>
      </c>
      <c r="AD10" s="95">
        <v>175</v>
      </c>
      <c r="AE10" s="95">
        <v>175</v>
      </c>
      <c r="AF10" s="95">
        <v>175</v>
      </c>
      <c r="AG10" s="95">
        <v>175</v>
      </c>
      <c r="AH10" s="95">
        <v>175</v>
      </c>
      <c r="AI10" s="95">
        <v>175</v>
      </c>
      <c r="AJ10" s="95">
        <v>175</v>
      </c>
      <c r="AK10" s="95">
        <v>175</v>
      </c>
    </row>
    <row r="11" spans="1:37" ht="15" customHeight="1">
      <c r="A11" s="58" t="s">
        <v>269</v>
      </c>
      <c r="B11" s="9" t="s">
        <v>157</v>
      </c>
      <c r="C11" s="58">
        <v>7.825E-2</v>
      </c>
      <c r="D11" s="58">
        <v>7.825E-2</v>
      </c>
      <c r="E11" s="58">
        <v>7.825E-2</v>
      </c>
      <c r="F11" s="58">
        <v>7.825E-2</v>
      </c>
      <c r="G11" s="58">
        <v>7.825E-2</v>
      </c>
      <c r="H11" s="58">
        <v>7.825E-2</v>
      </c>
      <c r="I11" s="58">
        <v>7.825E-2</v>
      </c>
      <c r="J11" s="58">
        <v>7.825E-2</v>
      </c>
      <c r="K11" s="58">
        <f>MIN(C11:J12)</f>
        <v>7.825E-2</v>
      </c>
      <c r="L11" s="58">
        <f>MAX(C11:J12)</f>
        <v>7.825E-2</v>
      </c>
      <c r="M11" s="58">
        <f>MODE(C11:J12)</f>
        <v>7.825E-2</v>
      </c>
      <c r="N11" s="58">
        <f t="shared" si="3"/>
        <v>0</v>
      </c>
      <c r="O11" s="58">
        <f t="shared" si="4"/>
        <v>0</v>
      </c>
      <c r="Y11" s="58">
        <f>MIN(Q5:X5,Q9:X9)</f>
        <v>8.9999999999967883E-4</v>
      </c>
      <c r="Z11" s="58">
        <f>MAX(Q5:X5,Q9:X9)</f>
        <v>1.8999999999995687E-3</v>
      </c>
      <c r="AA11" s="58">
        <f>MODE(Q5:X5,Q9:X9)</f>
        <v>1.6499999999997073E-3</v>
      </c>
      <c r="AB11" s="58">
        <f t="shared" si="8"/>
        <v>-7.5000000000002842E-4</v>
      </c>
      <c r="AC11" s="58">
        <f t="shared" si="9"/>
        <v>2.4999999999986144E-4</v>
      </c>
    </row>
    <row r="12" spans="1:37" ht="15" customHeight="1">
      <c r="A12" s="58" t="s">
        <v>269</v>
      </c>
      <c r="B12" s="9" t="s">
        <v>165</v>
      </c>
      <c r="C12" s="58">
        <v>7.825E-2</v>
      </c>
      <c r="D12" s="58">
        <v>7.825E-2</v>
      </c>
      <c r="E12" s="58">
        <v>7.825E-2</v>
      </c>
      <c r="F12" s="58">
        <v>7.825E-2</v>
      </c>
      <c r="G12" s="58">
        <v>7.825E-2</v>
      </c>
      <c r="H12" s="58">
        <v>7.825E-2</v>
      </c>
      <c r="I12" s="58">
        <v>7.825E-2</v>
      </c>
      <c r="J12" s="58">
        <v>7.825E-2</v>
      </c>
    </row>
    <row r="13" spans="1:37" ht="15" customHeight="1">
      <c r="A13" s="58" t="s">
        <v>243</v>
      </c>
      <c r="C13" s="58">
        <f>C7-'Rod Journals'!$O$2</f>
        <v>2.1000000000004349E-3</v>
      </c>
      <c r="D13" s="58">
        <f>D7-'Rod Journals'!$O$2</f>
        <v>2.3500000000002963E-3</v>
      </c>
      <c r="E13" s="58">
        <f>E7-'Rod Journals'!$O$2</f>
        <v>2.2000000000002018E-3</v>
      </c>
      <c r="F13" s="58">
        <f>F7-'Rod Journals'!$O$2</f>
        <v>2.5000000000003908E-3</v>
      </c>
      <c r="G13" s="58">
        <f>G7-'Rod Journals'!$O$2</f>
        <v>2.7000000000003688E-3</v>
      </c>
      <c r="H13" s="58">
        <f>H7-'Rod Journals'!$O$2</f>
        <v>2.2500000000000853E-3</v>
      </c>
      <c r="I13" s="58">
        <f>I7-'Rod Journals'!$O$2</f>
        <v>2.5000000000003908E-3</v>
      </c>
      <c r="J13" s="58">
        <f>J7-'Rod Journals'!$O$2</f>
        <v>2.3500000000002963E-3</v>
      </c>
      <c r="K13" s="58">
        <f t="shared" si="1"/>
        <v>2.1000000000004349E-3</v>
      </c>
      <c r="L13" s="58">
        <f t="shared" si="2"/>
        <v>2.7000000000003688E-3</v>
      </c>
      <c r="M13" s="58">
        <f>AVERAGE(C13:J13)</f>
        <v>2.3687500000003081E-3</v>
      </c>
      <c r="N13" s="58">
        <f>MIN(C14:J14)-M13</f>
        <v>-5.6875000000006226E-4</v>
      </c>
      <c r="O13" s="58">
        <f>MAX(C15:J15)-M13</f>
        <v>4.312499999998276E-4</v>
      </c>
    </row>
    <row r="14" spans="1:37" ht="15" customHeight="1">
      <c r="A14" s="58" t="s">
        <v>244</v>
      </c>
      <c r="C14" s="58">
        <f>C7-'Rod Journals'!$N$2</f>
        <v>1.8000000000002458E-3</v>
      </c>
      <c r="D14" s="58">
        <f>D7-'Rod Journals'!$N$2</f>
        <v>2.0500000000001073E-3</v>
      </c>
      <c r="E14" s="58">
        <f>E7-'Rod Journals'!$N$2</f>
        <v>1.9000000000000128E-3</v>
      </c>
      <c r="F14" s="58">
        <f>F7-'Rod Journals'!$N$2</f>
        <v>2.2000000000002018E-3</v>
      </c>
      <c r="G14" s="58">
        <f>G7-'Rod Journals'!$N$2</f>
        <v>2.4000000000001798E-3</v>
      </c>
      <c r="H14" s="58">
        <f>H7-'Rod Journals'!$N$2</f>
        <v>1.9499999999998963E-3</v>
      </c>
      <c r="I14" s="58">
        <f>I7-'Rod Journals'!$N$2</f>
        <v>2.2000000000002018E-3</v>
      </c>
      <c r="J14" s="58">
        <f>J7-'Rod Journals'!$N$2</f>
        <v>2.0500000000001073E-3</v>
      </c>
      <c r="K14" s="58">
        <f>K21-'Rod Journals'!$N$2</f>
        <v>1.8000000000002458E-3</v>
      </c>
    </row>
    <row r="15" spans="1:37" ht="15" customHeight="1">
      <c r="A15" s="58" t="s">
        <v>245</v>
      </c>
      <c r="C15" s="58">
        <f>C7-'Rod Journals'!$M$2</f>
        <v>2.2000000000002018E-3</v>
      </c>
      <c r="D15" s="58">
        <f>D7-'Rod Journals'!$M$2</f>
        <v>2.4500000000000632E-3</v>
      </c>
      <c r="E15" s="58">
        <f>E7-'Rod Journals'!$M$2</f>
        <v>2.2999999999999687E-3</v>
      </c>
      <c r="F15" s="58">
        <f>F7-'Rod Journals'!$M$2</f>
        <v>2.6000000000001577E-3</v>
      </c>
      <c r="G15" s="58">
        <f>G7-'Rod Journals'!$M$2</f>
        <v>2.8000000000001357E-3</v>
      </c>
      <c r="H15" s="58">
        <f>H7-'Rod Journals'!$M$2</f>
        <v>2.3499999999998522E-3</v>
      </c>
      <c r="I15" s="58">
        <f>I7-'Rod Journals'!$M$2</f>
        <v>2.6000000000001577E-3</v>
      </c>
      <c r="J15" s="58">
        <f>J7-'Rod Journals'!$M$2</f>
        <v>2.4500000000000632E-3</v>
      </c>
      <c r="L15" s="58">
        <f>L21-'Rod Journals'!$M$2</f>
        <v>2.8000000000001357E-3</v>
      </c>
    </row>
    <row r="16" spans="1:37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1.8000000000002458E-3</v>
      </c>
      <c r="L16" s="58">
        <f>L15</f>
        <v>2.8000000000001357E-3</v>
      </c>
      <c r="M16" s="58">
        <f>ROUND(AVERAGE(Q21:Z32),4)</f>
        <v>2.3999999999999998E-3</v>
      </c>
      <c r="N16" s="58">
        <f>K16-M16</f>
        <v>-5.9999999999975394E-4</v>
      </c>
      <c r="O16" s="58">
        <f>L16-M16</f>
        <v>4.0000000000013592E-4</v>
      </c>
    </row>
    <row r="20" spans="1:29">
      <c r="C20" s="88" t="s">
        <v>175</v>
      </c>
      <c r="D20" s="88" t="s">
        <v>176</v>
      </c>
      <c r="E20" s="88" t="s">
        <v>177</v>
      </c>
      <c r="F20" s="88" t="s">
        <v>178</v>
      </c>
      <c r="G20" s="88" t="s">
        <v>179</v>
      </c>
      <c r="H20" s="88" t="s">
        <v>180</v>
      </c>
      <c r="I20" s="88" t="s">
        <v>181</v>
      </c>
      <c r="J20" s="88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>
      <c r="A21" s="58" t="s">
        <v>199</v>
      </c>
      <c r="C21" s="58">
        <f>C7</f>
        <v>2.0486000000000004</v>
      </c>
      <c r="D21" s="58">
        <f t="shared" ref="D21:J21" si="13">D7</f>
        <v>2.0488500000000003</v>
      </c>
      <c r="E21" s="58">
        <f t="shared" si="13"/>
        <v>2.0487000000000002</v>
      </c>
      <c r="F21" s="58">
        <f t="shared" si="13"/>
        <v>2.0490000000000004</v>
      </c>
      <c r="G21" s="58">
        <f t="shared" si="13"/>
        <v>2.0492000000000004</v>
      </c>
      <c r="H21" s="58">
        <f t="shared" si="13"/>
        <v>2.0487500000000001</v>
      </c>
      <c r="I21" s="58">
        <f t="shared" si="13"/>
        <v>2.0490000000000004</v>
      </c>
      <c r="J21" s="58">
        <f t="shared" si="13"/>
        <v>2.0488500000000003</v>
      </c>
      <c r="K21" s="58">
        <f>MIN(C21:J21)</f>
        <v>2.0486000000000004</v>
      </c>
      <c r="L21" s="58">
        <f>MAX(C21:J21)</f>
        <v>2.0492000000000004</v>
      </c>
      <c r="M21" s="58">
        <f>MODE(C21:L32)</f>
        <v>2.0491000000000001</v>
      </c>
      <c r="N21" s="58">
        <f t="shared" ref="N21" si="14">K21-M21</f>
        <v>-4.9999999999972289E-4</v>
      </c>
      <c r="O21" s="58">
        <f t="shared" ref="O21" si="15">L21-M21</f>
        <v>1.0000000000021103E-4</v>
      </c>
      <c r="Q21" s="58">
        <f>C21-'Rod Journals'!$O$2</f>
        <v>2.1000000000004349E-3</v>
      </c>
      <c r="R21" s="58">
        <f>D21-'Rod Journals'!$O$2</f>
        <v>2.3500000000002963E-3</v>
      </c>
      <c r="S21" s="58">
        <f>E21-'Rod Journals'!$O$2</f>
        <v>2.2000000000002018E-3</v>
      </c>
      <c r="T21" s="58">
        <f>F21-'Rod Journals'!$O$2</f>
        <v>2.5000000000003908E-3</v>
      </c>
      <c r="U21" s="58">
        <f>G21-'Rod Journals'!$O$2</f>
        <v>2.7000000000003688E-3</v>
      </c>
      <c r="V21" s="58">
        <f>H21-'Rod Journals'!$O$2</f>
        <v>2.2500000000000853E-3</v>
      </c>
      <c r="W21" s="58">
        <f>I21-'Rod Journals'!$O$2</f>
        <v>2.5000000000003908E-3</v>
      </c>
      <c r="X21" s="58">
        <f>J21-'Rod Journals'!$O$2</f>
        <v>2.3500000000002963E-3</v>
      </c>
      <c r="Y21" s="58">
        <f>MIN(Q21:X32)</f>
        <v>2.1000000000004349E-3</v>
      </c>
      <c r="Z21" s="58">
        <f>MAX(Q21:Y32)</f>
        <v>2.7000000000003688E-3</v>
      </c>
      <c r="AA21" s="58">
        <f>ROUND(AVERAGE(Q21:Z32),4)</f>
        <v>2.3999999999999998E-3</v>
      </c>
      <c r="AB21" s="58">
        <f t="shared" ref="AB21" si="16">Y21-AA21</f>
        <v>-2.9999999999956494E-4</v>
      </c>
      <c r="AC21" s="58">
        <f t="shared" ref="AC21" si="17">Z21-AA21</f>
        <v>3.0000000000036898E-4</v>
      </c>
    </row>
    <row r="25" spans="1:29">
      <c r="A25" s="58" t="s">
        <v>239</v>
      </c>
      <c r="B25" s="9" t="s">
        <v>361</v>
      </c>
      <c r="C25" s="80" t="s">
        <v>175</v>
      </c>
      <c r="D25" s="80" t="s">
        <v>176</v>
      </c>
      <c r="E25" s="80" t="s">
        <v>177</v>
      </c>
      <c r="F25" s="80" t="s">
        <v>178</v>
      </c>
      <c r="G25" s="80" t="s">
        <v>179</v>
      </c>
      <c r="H25" s="80" t="s">
        <v>180</v>
      </c>
      <c r="I25" s="80" t="s">
        <v>181</v>
      </c>
      <c r="J25" s="80" t="s">
        <v>182</v>
      </c>
      <c r="K25" s="80" t="s">
        <v>195</v>
      </c>
      <c r="L25" s="80" t="s">
        <v>183</v>
      </c>
      <c r="M25" s="80" t="s">
        <v>184</v>
      </c>
      <c r="N25" s="80" t="s">
        <v>185</v>
      </c>
      <c r="O25" s="80" t="s">
        <v>186</v>
      </c>
    </row>
    <row r="26" spans="1:29">
      <c r="B26" s="9" t="s">
        <v>241</v>
      </c>
      <c r="C26" s="58">
        <v>70.3</v>
      </c>
      <c r="D26" s="58">
        <v>71.900000000000006</v>
      </c>
      <c r="E26" s="58">
        <v>70.7</v>
      </c>
      <c r="F26" s="58">
        <v>70.5</v>
      </c>
      <c r="G26" s="58">
        <v>71.099999999999994</v>
      </c>
      <c r="H26" s="58">
        <v>71.5</v>
      </c>
      <c r="I26" s="58">
        <v>71.2</v>
      </c>
      <c r="J26" s="58">
        <v>71.900000000000006</v>
      </c>
    </row>
    <row r="27" spans="1:29"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>
      <c r="A28" s="58">
        <v>5</v>
      </c>
      <c r="C28" s="58">
        <v>2.0527000000000002</v>
      </c>
      <c r="D28" s="58">
        <v>2.0518999999999998</v>
      </c>
      <c r="E28" s="58">
        <v>2.0529500000000001</v>
      </c>
      <c r="F28" s="58">
        <v>2.0518000000000001</v>
      </c>
      <c r="G28" s="58">
        <v>2.0526</v>
      </c>
      <c r="H28" s="58">
        <v>2.0528</v>
      </c>
      <c r="I28" s="58">
        <v>2.0522499999999999</v>
      </c>
      <c r="J28" s="58">
        <v>2.0521500000000001</v>
      </c>
      <c r="K28" s="58">
        <f t="shared" ref="K28:K34" si="18">MIN(C28:J28)</f>
        <v>2.0518000000000001</v>
      </c>
      <c r="L28" s="58">
        <f t="shared" ref="L28:L34" si="19">MAX(C28:J28)</f>
        <v>2.0529500000000001</v>
      </c>
      <c r="M28" s="58">
        <f>AVERAGE(C28:J28)</f>
        <v>2.0523937500000002</v>
      </c>
      <c r="N28" s="58">
        <f t="shared" ref="N28:N35" si="20">K28-M28</f>
        <v>-5.9375000000017053E-4</v>
      </c>
      <c r="O28" s="58">
        <f t="shared" ref="O28:O35" si="21">L28-M28</f>
        <v>5.5624999999981384E-4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>
      <c r="A29" s="58">
        <v>19.75</v>
      </c>
      <c r="C29" s="58">
        <v>2.0503999999999998</v>
      </c>
      <c r="D29" s="58">
        <v>2.0503</v>
      </c>
      <c r="E29" s="58">
        <v>2.0501999999999998</v>
      </c>
      <c r="F29" s="58">
        <v>2.0501999999999998</v>
      </c>
      <c r="G29" s="58">
        <v>2.0506000000000002</v>
      </c>
      <c r="H29" s="58">
        <v>2.0504500000000001</v>
      </c>
      <c r="I29" s="58">
        <v>2.0505499999999999</v>
      </c>
      <c r="J29" s="58">
        <v>2.0501499999999999</v>
      </c>
      <c r="K29" s="58">
        <f t="shared" si="18"/>
        <v>2.0501499999999999</v>
      </c>
      <c r="L29" s="58">
        <f t="shared" si="19"/>
        <v>2.0506000000000002</v>
      </c>
      <c r="M29" s="58">
        <f t="shared" ref="M29:M34" si="22">AVERAGE(C29:J29)</f>
        <v>2.0503562499999997</v>
      </c>
      <c r="N29" s="58">
        <f t="shared" si="20"/>
        <v>-2.0624999999974136E-4</v>
      </c>
      <c r="O29" s="58">
        <f t="shared" si="21"/>
        <v>2.4375000000054214E-4</v>
      </c>
      <c r="Q29" s="58"/>
      <c r="R29" s="58"/>
      <c r="S29" s="58"/>
      <c r="T29" s="58"/>
      <c r="U29" s="58"/>
      <c r="V29" s="58"/>
      <c r="W29" s="58"/>
      <c r="X29" s="58"/>
    </row>
    <row r="30" spans="1:29">
      <c r="A30" s="58">
        <v>45</v>
      </c>
      <c r="C30" s="58">
        <v>2.0491999999999999</v>
      </c>
      <c r="D30" s="58">
        <v>2.0489999999999999</v>
      </c>
      <c r="E30" s="58">
        <v>2.0491000000000001</v>
      </c>
      <c r="F30" s="58">
        <v>2.0492499999999998</v>
      </c>
      <c r="G30" s="58">
        <v>2.04955</v>
      </c>
      <c r="H30" s="58">
        <v>2.0493000000000001</v>
      </c>
      <c r="I30" s="58">
        <v>2.04955</v>
      </c>
      <c r="J30" s="58">
        <v>2.0493000000000001</v>
      </c>
      <c r="K30" s="58">
        <f t="shared" si="18"/>
        <v>2.0489999999999999</v>
      </c>
      <c r="L30" s="58">
        <f t="shared" si="19"/>
        <v>2.04955</v>
      </c>
      <c r="M30" s="58">
        <f t="shared" si="22"/>
        <v>2.0492812499999999</v>
      </c>
      <c r="N30" s="58">
        <f t="shared" si="20"/>
        <v>-2.8125000000001066E-4</v>
      </c>
      <c r="O30" s="58">
        <f t="shared" si="21"/>
        <v>2.6875000000003979E-4</v>
      </c>
    </row>
    <row r="31" spans="1:29">
      <c r="A31" s="58">
        <v>90</v>
      </c>
      <c r="C31" s="58">
        <v>2.0485000000000002</v>
      </c>
      <c r="D31" s="58">
        <v>2.0487500000000001</v>
      </c>
      <c r="E31" s="58">
        <v>2.0486</v>
      </c>
      <c r="F31" s="58">
        <v>2.0489000000000002</v>
      </c>
      <c r="G31" s="58">
        <v>2.0491000000000001</v>
      </c>
      <c r="H31" s="58">
        <v>2.0486499999999999</v>
      </c>
      <c r="I31" s="58">
        <v>2.0489000000000002</v>
      </c>
      <c r="J31" s="58">
        <v>2.0487500000000001</v>
      </c>
      <c r="K31" s="58">
        <f t="shared" si="18"/>
        <v>2.0485000000000002</v>
      </c>
      <c r="L31" s="58">
        <f t="shared" si="19"/>
        <v>2.0491000000000001</v>
      </c>
      <c r="M31" s="58">
        <f t="shared" si="22"/>
        <v>2.0487687500000002</v>
      </c>
      <c r="N31" s="58">
        <f t="shared" si="20"/>
        <v>-2.6875000000003979E-4</v>
      </c>
      <c r="O31" s="58">
        <f t="shared" si="21"/>
        <v>3.3124999999989413E-4</v>
      </c>
    </row>
    <row r="32" spans="1:29">
      <c r="A32" s="58">
        <v>135</v>
      </c>
      <c r="C32" s="58">
        <v>2.0489000000000002</v>
      </c>
      <c r="D32" s="58">
        <v>2.0491999999999999</v>
      </c>
      <c r="E32" s="58">
        <v>2.0491000000000001</v>
      </c>
      <c r="F32" s="58">
        <v>2.0493000000000001</v>
      </c>
      <c r="G32" s="58">
        <v>2.0489999999999999</v>
      </c>
      <c r="H32" s="58">
        <v>2.0489999999999999</v>
      </c>
      <c r="I32" s="58">
        <v>2.0491999999999999</v>
      </c>
      <c r="J32" s="58">
        <v>2.0491000000000001</v>
      </c>
      <c r="K32" s="58">
        <f t="shared" si="18"/>
        <v>2.0489000000000002</v>
      </c>
      <c r="L32" s="58">
        <f t="shared" si="19"/>
        <v>2.0493000000000001</v>
      </c>
      <c r="M32" s="58">
        <f t="shared" si="22"/>
        <v>2.0490999999999997</v>
      </c>
      <c r="N32" s="58">
        <f t="shared" si="20"/>
        <v>-1.9999999999953388E-4</v>
      </c>
      <c r="O32" s="58">
        <f t="shared" si="21"/>
        <v>2.0000000000042206E-4</v>
      </c>
    </row>
    <row r="33" spans="1:17">
      <c r="A33" s="58">
        <v>160.25</v>
      </c>
      <c r="C33" s="58">
        <v>2.0499999999999998</v>
      </c>
      <c r="D33" s="58">
        <v>2.0503999999999998</v>
      </c>
      <c r="E33" s="58">
        <v>2.0503499999999999</v>
      </c>
      <c r="F33" s="58">
        <v>2.0505499999999999</v>
      </c>
      <c r="G33" s="58">
        <v>2.0499999999999998</v>
      </c>
      <c r="H33" s="58">
        <v>2.0499999999999998</v>
      </c>
      <c r="I33" s="58">
        <v>2.0499000000000001</v>
      </c>
      <c r="J33" s="58">
        <v>2.0499499999999999</v>
      </c>
      <c r="K33" s="58">
        <f t="shared" si="18"/>
        <v>2.0499000000000001</v>
      </c>
      <c r="L33" s="58">
        <f t="shared" si="19"/>
        <v>2.0505499999999999</v>
      </c>
      <c r="M33" s="58">
        <f t="shared" si="22"/>
        <v>2.0501437500000002</v>
      </c>
      <c r="N33" s="58">
        <f t="shared" si="20"/>
        <v>-2.4375000000009805E-4</v>
      </c>
      <c r="O33" s="58">
        <f t="shared" si="21"/>
        <v>4.0624999999971934E-4</v>
      </c>
    </row>
    <row r="34" spans="1:17">
      <c r="A34" s="58">
        <v>175</v>
      </c>
      <c r="C34" s="58">
        <v>2.0530499999999998</v>
      </c>
      <c r="D34" s="58">
        <v>2.0519500000000002</v>
      </c>
      <c r="E34" s="58">
        <v>2.0527000000000002</v>
      </c>
      <c r="F34" s="58">
        <v>2.0528</v>
      </c>
      <c r="G34" s="58">
        <v>2.0525000000000002</v>
      </c>
      <c r="H34" s="58">
        <v>2.0526</v>
      </c>
      <c r="I34" s="58">
        <v>2.0524</v>
      </c>
      <c r="J34" s="58">
        <v>2.0518000000000001</v>
      </c>
      <c r="K34" s="58">
        <f t="shared" si="18"/>
        <v>2.0518000000000001</v>
      </c>
      <c r="L34" s="58">
        <f t="shared" si="19"/>
        <v>2.0530499999999998</v>
      </c>
      <c r="M34" s="58">
        <f t="shared" si="22"/>
        <v>2.0524750000000003</v>
      </c>
      <c r="N34" s="58">
        <f t="shared" si="20"/>
        <v>-6.7500000000020322E-4</v>
      </c>
      <c r="O34" s="58">
        <f t="shared" si="21"/>
        <v>5.7499999999954809E-4</v>
      </c>
    </row>
    <row r="35" spans="1:17">
      <c r="A35" s="58" t="s">
        <v>269</v>
      </c>
      <c r="B35" s="9" t="s">
        <v>157</v>
      </c>
      <c r="C35" s="58">
        <v>7.825E-2</v>
      </c>
      <c r="D35" s="58">
        <v>7.825E-2</v>
      </c>
      <c r="E35" s="58">
        <v>7.825E-2</v>
      </c>
      <c r="F35" s="58">
        <v>7.825E-2</v>
      </c>
      <c r="G35" s="58">
        <v>7.825E-2</v>
      </c>
      <c r="H35" s="58">
        <v>7.825E-2</v>
      </c>
      <c r="I35" s="58">
        <v>7.825E-2</v>
      </c>
      <c r="J35" s="58">
        <v>7.825E-2</v>
      </c>
      <c r="K35" s="58">
        <f>MIN(C35:J36)</f>
        <v>7.825E-2</v>
      </c>
      <c r="L35" s="58">
        <f>MAX(C35:J36)</f>
        <v>7.825E-2</v>
      </c>
      <c r="M35" s="58">
        <f>MODE(C35:J36)</f>
        <v>7.825E-2</v>
      </c>
      <c r="N35" s="58">
        <f t="shared" si="20"/>
        <v>0</v>
      </c>
      <c r="O35" s="58">
        <f t="shared" si="21"/>
        <v>0</v>
      </c>
    </row>
    <row r="36" spans="1:17">
      <c r="A36" s="58" t="s">
        <v>269</v>
      </c>
      <c r="B36" s="9" t="s">
        <v>165</v>
      </c>
      <c r="C36" s="58">
        <v>7.825E-2</v>
      </c>
      <c r="D36" s="58">
        <v>7.825E-2</v>
      </c>
      <c r="E36" s="58">
        <v>7.825E-2</v>
      </c>
      <c r="F36" s="58">
        <v>7.825E-2</v>
      </c>
      <c r="G36" s="58">
        <v>7.825E-2</v>
      </c>
      <c r="H36" s="58">
        <v>7.825E-2</v>
      </c>
      <c r="I36" s="58">
        <v>7.825E-2</v>
      </c>
      <c r="J36" s="58">
        <v>7.825E-2</v>
      </c>
    </row>
    <row r="37" spans="1:17">
      <c r="A37" s="58" t="s">
        <v>243</v>
      </c>
      <c r="C37" s="58">
        <f>C31-'Rod Journals'!$O$2</f>
        <v>2.0000000000002238E-3</v>
      </c>
      <c r="D37" s="58">
        <f>D31-'Rod Journals'!$O$2</f>
        <v>2.2500000000000853E-3</v>
      </c>
      <c r="E37" s="58">
        <f>E31-'Rod Journals'!$O$2</f>
        <v>2.0999999999999908E-3</v>
      </c>
      <c r="F37" s="58">
        <f>F31-'Rod Journals'!$O$2</f>
        <v>2.4000000000001798E-3</v>
      </c>
      <c r="G37" s="58">
        <f>G31-'Rod Journals'!$O$2</f>
        <v>2.6000000000001577E-3</v>
      </c>
      <c r="H37" s="58">
        <f>H31-'Rod Journals'!$O$2</f>
        <v>2.1499999999998742E-3</v>
      </c>
      <c r="I37" s="58">
        <f>I31-'Rod Journals'!$O$2</f>
        <v>2.4000000000001798E-3</v>
      </c>
      <c r="J37" s="58">
        <f>J31-'Rod Journals'!$O$2</f>
        <v>2.2500000000000853E-3</v>
      </c>
      <c r="K37" s="58">
        <f t="shared" ref="K37" si="23">MIN(C37:J37)</f>
        <v>2.0000000000002238E-3</v>
      </c>
      <c r="L37" s="58">
        <f t="shared" ref="L37" si="24">MAX(C37:J37)</f>
        <v>2.6000000000001577E-3</v>
      </c>
      <c r="M37" s="58">
        <f>AVERAGE(C37:J37)</f>
        <v>2.2687500000000971E-3</v>
      </c>
      <c r="N37" s="58">
        <f>MIN(C38:J38)-M37</f>
        <v>-5.6875000000006226E-4</v>
      </c>
      <c r="O37" s="58">
        <f>MAX(C39:J39)-M37</f>
        <v>4.312499999998276E-4</v>
      </c>
    </row>
    <row r="38" spans="1:17">
      <c r="A38" s="58" t="s">
        <v>244</v>
      </c>
      <c r="C38" s="58">
        <f>C31-'Rod Journals'!$N$2</f>
        <v>1.7000000000000348E-3</v>
      </c>
      <c r="D38" s="58">
        <f>D31-'Rod Journals'!$N$2</f>
        <v>1.9499999999998963E-3</v>
      </c>
      <c r="E38" s="58">
        <f>E31-'Rod Journals'!$N$2</f>
        <v>1.7999999999998018E-3</v>
      </c>
      <c r="F38" s="58">
        <f>F31-'Rod Journals'!$N$2</f>
        <v>2.0999999999999908E-3</v>
      </c>
      <c r="G38" s="58">
        <f>G31-'Rod Journals'!$N$2</f>
        <v>2.2999999999999687E-3</v>
      </c>
      <c r="H38" s="58">
        <f>H31-'Rod Journals'!$N$2</f>
        <v>1.8499999999996852E-3</v>
      </c>
      <c r="I38" s="58">
        <f>I31-'Rod Journals'!$N$2</f>
        <v>2.0999999999999908E-3</v>
      </c>
      <c r="J38" s="58">
        <f>J31-'Rod Journals'!$N$2</f>
        <v>1.9499999999998963E-3</v>
      </c>
    </row>
    <row r="39" spans="1:17">
      <c r="A39" s="58" t="s">
        <v>245</v>
      </c>
      <c r="C39" s="58">
        <f>C31-'Rod Journals'!$M$2</f>
        <v>2.0999999999999908E-3</v>
      </c>
      <c r="D39" s="58">
        <f>D31-'Rod Journals'!$M$2</f>
        <v>2.3499999999998522E-3</v>
      </c>
      <c r="E39" s="58">
        <f>E31-'Rod Journals'!$M$2</f>
        <v>2.1999999999997577E-3</v>
      </c>
      <c r="F39" s="58">
        <f>F31-'Rod Journals'!$M$2</f>
        <v>2.4999999999999467E-3</v>
      </c>
      <c r="G39" s="58">
        <f>G31-'Rod Journals'!$M$2</f>
        <v>2.6999999999999247E-3</v>
      </c>
      <c r="H39" s="58">
        <f>H31-'Rod Journals'!$M$2</f>
        <v>2.2499999999996412E-3</v>
      </c>
      <c r="I39" s="58">
        <f>I31-'Rod Journals'!$M$2</f>
        <v>2.4999999999999467E-3</v>
      </c>
      <c r="J39" s="58">
        <f>J31-'Rod Journals'!$M$2</f>
        <v>2.3499999999998522E-3</v>
      </c>
    </row>
    <row r="40" spans="1:17">
      <c r="A40" s="58" t="s">
        <v>274</v>
      </c>
      <c r="C40" s="9"/>
      <c r="D40" s="9"/>
      <c r="E40" s="9"/>
      <c r="F40" s="9"/>
      <c r="G40" s="9"/>
      <c r="H40" s="9"/>
      <c r="I40" s="9"/>
      <c r="J40" s="9"/>
    </row>
    <row r="41" spans="1:17">
      <c r="C41" s="9"/>
      <c r="D41" s="9"/>
      <c r="E41" s="9"/>
      <c r="F41" s="9"/>
      <c r="G41" s="9"/>
      <c r="H41" s="9"/>
      <c r="I41" s="9"/>
      <c r="J41" s="9"/>
    </row>
    <row r="42" spans="1:17">
      <c r="A42" s="58" t="s">
        <v>416</v>
      </c>
      <c r="B42" s="58">
        <v>-4.0000000000000002E-4</v>
      </c>
      <c r="C42" s="58">
        <v>-3.5E-4</v>
      </c>
      <c r="D42" s="58">
        <v>-2.9999999999999997E-4</v>
      </c>
      <c r="E42" s="58">
        <v>-2.5000000000000001E-4</v>
      </c>
      <c r="F42" s="58">
        <v>-2.0000000000000001E-4</v>
      </c>
      <c r="G42" s="58">
        <v>-1.4999999999999999E-4</v>
      </c>
      <c r="H42" s="58">
        <v>-1E-4</v>
      </c>
      <c r="I42" s="58">
        <v>-5.0000000000000002E-5</v>
      </c>
      <c r="J42" s="58">
        <v>0</v>
      </c>
      <c r="K42" s="58">
        <v>5.0000000000000002E-5</v>
      </c>
      <c r="L42" s="58">
        <v>1E-4</v>
      </c>
      <c r="M42" s="58">
        <v>1.4999999999999999E-4</v>
      </c>
      <c r="N42" s="58">
        <v>2.0000000000000001E-4</v>
      </c>
      <c r="O42" s="58">
        <v>2.5000000000000001E-4</v>
      </c>
      <c r="P42" s="58">
        <v>2.9999999999999997E-4</v>
      </c>
    </row>
    <row r="43" spans="1:17">
      <c r="A43" s="58" t="s">
        <v>362</v>
      </c>
      <c r="B43" s="58">
        <v>7.7899999999999997E-2</v>
      </c>
      <c r="C43" s="58">
        <v>7.7950000000000005E-2</v>
      </c>
      <c r="D43" s="58">
        <v>7.8E-2</v>
      </c>
      <c r="E43" s="58">
        <v>7.8049999999999994E-2</v>
      </c>
      <c r="F43" s="58">
        <v>7.8100000000000003E-2</v>
      </c>
      <c r="G43" s="58">
        <v>7.8149999999999997E-2</v>
      </c>
      <c r="H43" s="58">
        <v>7.8200000000000006E-2</v>
      </c>
      <c r="I43" s="58">
        <v>7.8250000000000097E-2</v>
      </c>
      <c r="J43" s="58">
        <v>7.8300000000000106E-2</v>
      </c>
      <c r="K43" s="58">
        <v>7.83500000000001E-2</v>
      </c>
      <c r="L43" s="58">
        <v>7.8400000000000095E-2</v>
      </c>
      <c r="M43" s="58">
        <v>7.8450000000000103E-2</v>
      </c>
      <c r="N43" s="58">
        <v>7.8500000000000097E-2</v>
      </c>
      <c r="O43" s="58">
        <v>7.8550000000000106E-2</v>
      </c>
      <c r="P43" s="58">
        <v>7.86000000000001E-2</v>
      </c>
      <c r="Q43" s="9" t="s">
        <v>363</v>
      </c>
    </row>
    <row r="44" spans="1:17">
      <c r="A44" s="58" t="s">
        <v>446</v>
      </c>
      <c r="B44" s="87">
        <v>6</v>
      </c>
      <c r="C44" s="87">
        <v>11</v>
      </c>
      <c r="D44" s="87">
        <v>20</v>
      </c>
      <c r="E44" s="87">
        <v>50</v>
      </c>
      <c r="F44" s="87">
        <v>232</v>
      </c>
      <c r="G44" s="87">
        <v>476</v>
      </c>
      <c r="H44" s="87">
        <v>402</v>
      </c>
      <c r="I44" s="87">
        <v>363</v>
      </c>
      <c r="J44" s="87">
        <v>240</v>
      </c>
      <c r="K44" s="87">
        <v>69</v>
      </c>
      <c r="L44" s="87">
        <v>32</v>
      </c>
      <c r="M44" s="87">
        <v>9</v>
      </c>
      <c r="N44" s="87">
        <v>0</v>
      </c>
      <c r="O44" s="87">
        <v>0</v>
      </c>
      <c r="P44" s="87">
        <v>1</v>
      </c>
      <c r="Q44" s="9">
        <f>SUM(B44:P44)</f>
        <v>1911</v>
      </c>
    </row>
    <row r="45" spans="1:17">
      <c r="A45" s="58" t="s">
        <v>447</v>
      </c>
      <c r="B45" s="87"/>
      <c r="C45" s="87"/>
      <c r="D45" s="87">
        <v>1</v>
      </c>
      <c r="E45" s="87">
        <v>2</v>
      </c>
      <c r="F45" s="87">
        <f>SUM(5)</f>
        <v>5</v>
      </c>
      <c r="G45" s="87">
        <f>SUM(8,18,6*26)</f>
        <v>182</v>
      </c>
      <c r="H45" s="87">
        <f>SUM(8*26,12)</f>
        <v>220</v>
      </c>
      <c r="I45" s="87">
        <f>SUM(9*26,3)</f>
        <v>237</v>
      </c>
      <c r="J45" s="87">
        <f>SUM(9*26,5)</f>
        <v>239</v>
      </c>
      <c r="K45" s="87">
        <f>SUM(4*26,5,3)</f>
        <v>112</v>
      </c>
      <c r="L45" s="87">
        <v>18</v>
      </c>
      <c r="M45" s="87">
        <v>6</v>
      </c>
      <c r="N45" s="87"/>
      <c r="O45" s="87"/>
      <c r="P45" s="87"/>
      <c r="Q45" s="87">
        <f>SUM(B45:P45)</f>
        <v>1022</v>
      </c>
    </row>
    <row r="46" spans="1:17">
      <c r="A46" s="58" t="s">
        <v>448</v>
      </c>
      <c r="B46" s="87"/>
      <c r="C46" s="87"/>
      <c r="D46" s="87">
        <v>3</v>
      </c>
      <c r="E46" s="87">
        <v>3</v>
      </c>
      <c r="F46" s="87">
        <f>SUM(16)</f>
        <v>16</v>
      </c>
      <c r="G46" s="87">
        <f>SUM(6,7,3*27,11)</f>
        <v>105</v>
      </c>
      <c r="H46" s="87">
        <f>SUM(1,9*27,30)</f>
        <v>274</v>
      </c>
      <c r="I46" s="87">
        <f>SUM(9*27,4*27,18)</f>
        <v>369</v>
      </c>
      <c r="J46" s="87">
        <f>SUM(9*27,8*27,8)</f>
        <v>467</v>
      </c>
      <c r="K46" s="87">
        <f>SUM(9*27,6*27,11)</f>
        <v>416</v>
      </c>
      <c r="L46" s="87">
        <f>SUM(8*27,24)</f>
        <v>240</v>
      </c>
      <c r="M46" s="87">
        <f>SUM(3*27,15)</f>
        <v>96</v>
      </c>
      <c r="N46" s="87">
        <v>30</v>
      </c>
      <c r="O46" s="87">
        <v>6</v>
      </c>
      <c r="P46" s="87"/>
      <c r="Q46" s="87">
        <f>SUM(B46:P46)</f>
        <v>2025</v>
      </c>
    </row>
    <row r="47" spans="1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1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1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1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1:17">
      <c r="A52" s="58" t="s">
        <v>416</v>
      </c>
      <c r="B52" s="58">
        <v>-4.0000000000000002E-4</v>
      </c>
      <c r="C52" s="58">
        <v>-3.5E-4</v>
      </c>
      <c r="D52" s="58">
        <v>-2.9999999999999997E-4</v>
      </c>
      <c r="E52" s="58">
        <v>-2.5000000000000001E-4</v>
      </c>
      <c r="F52" s="58">
        <v>-2.0000000000000001E-4</v>
      </c>
      <c r="G52" s="58">
        <v>-1.4999999999999999E-4</v>
      </c>
      <c r="H52" s="58">
        <v>-1E-4</v>
      </c>
      <c r="I52" s="58">
        <v>-5.0000000000000002E-5</v>
      </c>
      <c r="J52" s="58">
        <v>0</v>
      </c>
      <c r="K52" s="58">
        <v>5.0000000000000002E-5</v>
      </c>
      <c r="L52" s="58">
        <v>1E-4</v>
      </c>
      <c r="M52" s="58">
        <v>1.4999999999999999E-4</v>
      </c>
      <c r="N52" s="58">
        <v>2.0000000000000001E-4</v>
      </c>
      <c r="O52" s="58">
        <v>2.5000000000000001E-4</v>
      </c>
      <c r="P52" s="58">
        <v>2.9999999999999997E-4</v>
      </c>
    </row>
    <row r="53" spans="1:17">
      <c r="A53" s="58" t="s">
        <v>362</v>
      </c>
      <c r="B53" s="58">
        <v>7.8350000000000003E-2</v>
      </c>
      <c r="C53" s="58">
        <v>7.8399999999999997E-2</v>
      </c>
      <c r="D53" s="58">
        <v>7.8450000000000006E-2</v>
      </c>
      <c r="E53" s="58">
        <v>7.85E-2</v>
      </c>
      <c r="F53" s="58">
        <v>7.8549999999999995E-2</v>
      </c>
      <c r="G53" s="58">
        <v>7.8600000000000003E-2</v>
      </c>
      <c r="H53" s="58">
        <v>7.8649999999999998E-2</v>
      </c>
      <c r="I53" s="58">
        <v>7.8700000000000006E-2</v>
      </c>
      <c r="J53" s="58">
        <v>7.8750000000000001E-2</v>
      </c>
      <c r="K53" s="58">
        <v>7.8799999999999995E-2</v>
      </c>
      <c r="L53" s="58">
        <v>7.8850000000000003E-2</v>
      </c>
      <c r="M53" s="58">
        <v>7.8899999999999998E-2</v>
      </c>
      <c r="N53" s="58">
        <v>7.8950000000000006E-2</v>
      </c>
      <c r="O53" s="58">
        <v>7.9000000000000001E-2</v>
      </c>
      <c r="P53" s="58">
        <v>7.9049999999999995E-2</v>
      </c>
      <c r="Q53" s="9" t="s">
        <v>363</v>
      </c>
    </row>
    <row r="54" spans="1:17">
      <c r="A54" s="58" t="s">
        <v>446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9">
        <f>SUM(B54:P54)</f>
        <v>0</v>
      </c>
    </row>
  </sheetData>
  <mergeCells count="1">
    <mergeCell ref="Q2:X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topLeftCell="A16" workbookViewId="0">
      <selection activeCell="Y10" sqref="Y10"/>
    </sheetView>
  </sheetViews>
  <sheetFormatPr defaultRowHeight="15"/>
  <cols>
    <col min="1" max="1" width="14" style="58" bestFit="1" customWidth="1"/>
    <col min="2" max="2" width="19" style="9" bestFit="1" customWidth="1"/>
    <col min="3" max="6" width="9.140625" style="58"/>
    <col min="7" max="9" width="9.5703125" style="58" bestFit="1" customWidth="1"/>
    <col min="10" max="17" width="9.140625" style="58"/>
    <col min="18" max="16384" width="9.140625" style="9"/>
  </cols>
  <sheetData>
    <row r="1" spans="1:43" ht="15" customHeight="1">
      <c r="A1" s="58" t="s">
        <v>239</v>
      </c>
      <c r="B1" s="9" t="s">
        <v>452</v>
      </c>
      <c r="C1" s="80" t="s">
        <v>175</v>
      </c>
      <c r="D1" s="80" t="s">
        <v>176</v>
      </c>
      <c r="E1" s="80" t="s">
        <v>177</v>
      </c>
      <c r="F1" s="80" t="s">
        <v>178</v>
      </c>
      <c r="G1" s="80" t="s">
        <v>179</v>
      </c>
      <c r="H1" s="80" t="s">
        <v>180</v>
      </c>
      <c r="I1" s="80" t="s">
        <v>181</v>
      </c>
      <c r="J1" s="80" t="s">
        <v>182</v>
      </c>
      <c r="K1" s="80" t="s">
        <v>450</v>
      </c>
      <c r="L1" s="80" t="s">
        <v>451</v>
      </c>
      <c r="M1" s="80" t="s">
        <v>195</v>
      </c>
      <c r="N1" s="80" t="s">
        <v>183</v>
      </c>
      <c r="O1" s="80" t="s">
        <v>184</v>
      </c>
      <c r="P1" s="80" t="s">
        <v>185</v>
      </c>
      <c r="Q1" s="80" t="s">
        <v>186</v>
      </c>
    </row>
    <row r="2" spans="1:43" ht="15" customHeight="1">
      <c r="B2" s="9" t="s">
        <v>241</v>
      </c>
      <c r="S2" s="101" t="s">
        <v>270</v>
      </c>
      <c r="T2" s="101"/>
      <c r="U2" s="101"/>
      <c r="V2" s="101"/>
      <c r="W2" s="101"/>
      <c r="X2" s="101"/>
      <c r="Y2" s="101"/>
      <c r="Z2" s="101"/>
      <c r="AA2" s="99"/>
      <c r="AB2" s="99"/>
    </row>
    <row r="3" spans="1:43" ht="15" customHeight="1">
      <c r="B3" s="9" t="s">
        <v>364</v>
      </c>
      <c r="C3" s="80" t="s">
        <v>175</v>
      </c>
      <c r="D3" s="80" t="s">
        <v>176</v>
      </c>
      <c r="E3" s="80" t="s">
        <v>177</v>
      </c>
      <c r="F3" s="80" t="s">
        <v>178</v>
      </c>
      <c r="G3" s="80" t="s">
        <v>179</v>
      </c>
      <c r="H3" s="80" t="s">
        <v>180</v>
      </c>
      <c r="I3" s="80" t="s">
        <v>181</v>
      </c>
      <c r="J3" s="80" t="s">
        <v>182</v>
      </c>
      <c r="K3" s="80" t="s">
        <v>450</v>
      </c>
      <c r="L3" s="80" t="s">
        <v>451</v>
      </c>
      <c r="R3" s="9" t="s">
        <v>364</v>
      </c>
      <c r="S3" s="99" t="s">
        <v>405</v>
      </c>
      <c r="T3" s="99" t="s">
        <v>406</v>
      </c>
      <c r="U3" s="99" t="s">
        <v>407</v>
      </c>
      <c r="V3" s="99" t="s">
        <v>408</v>
      </c>
      <c r="W3" s="99" t="s">
        <v>409</v>
      </c>
      <c r="X3" s="99" t="s">
        <v>410</v>
      </c>
      <c r="Y3" s="99" t="s">
        <v>411</v>
      </c>
      <c r="Z3" s="99" t="s">
        <v>412</v>
      </c>
      <c r="AA3" s="99" t="s">
        <v>453</v>
      </c>
      <c r="AB3" s="99" t="s">
        <v>454</v>
      </c>
      <c r="AC3" s="53" t="s">
        <v>195</v>
      </c>
      <c r="AD3" s="53" t="s">
        <v>183</v>
      </c>
      <c r="AE3" s="53" t="s">
        <v>184</v>
      </c>
      <c r="AF3" s="53" t="s">
        <v>185</v>
      </c>
      <c r="AG3" s="53" t="s">
        <v>186</v>
      </c>
      <c r="AH3" s="99" t="s">
        <v>175</v>
      </c>
      <c r="AI3" s="99" t="s">
        <v>176</v>
      </c>
      <c r="AJ3" s="99" t="s">
        <v>177</v>
      </c>
      <c r="AK3" s="99" t="s">
        <v>178</v>
      </c>
      <c r="AL3" s="99" t="s">
        <v>179</v>
      </c>
      <c r="AM3" s="99" t="s">
        <v>180</v>
      </c>
      <c r="AN3" s="99" t="s">
        <v>181</v>
      </c>
      <c r="AO3" s="99" t="s">
        <v>182</v>
      </c>
      <c r="AP3" s="99" t="s">
        <v>450</v>
      </c>
      <c r="AQ3" s="99" t="s">
        <v>451</v>
      </c>
    </row>
    <row r="4" spans="1:43" ht="15" customHeight="1">
      <c r="A4" s="58">
        <v>5</v>
      </c>
      <c r="B4" s="84">
        <v>5</v>
      </c>
      <c r="C4" s="58">
        <v>2.0522</v>
      </c>
      <c r="D4" s="58">
        <v>2.0522499999999999</v>
      </c>
      <c r="E4" s="58">
        <v>2.0531999999999999</v>
      </c>
      <c r="F4" s="58">
        <v>2.0528</v>
      </c>
      <c r="G4" s="58">
        <v>2.05105</v>
      </c>
      <c r="H4" s="58">
        <v>2.0524499999999999</v>
      </c>
      <c r="I4" s="58">
        <v>2.0511499999999998</v>
      </c>
      <c r="J4" s="58">
        <v>2.05315</v>
      </c>
      <c r="K4" s="58">
        <v>2.0508000000000002</v>
      </c>
      <c r="L4" s="58">
        <v>2.0529999999999999</v>
      </c>
      <c r="M4" s="58">
        <f>MIN(C4:L4)</f>
        <v>2.0508000000000002</v>
      </c>
      <c r="N4" s="58">
        <f>MAX(C4:L4)</f>
        <v>2.0531999999999999</v>
      </c>
      <c r="O4" s="58">
        <f>AVERAGE(C4:L4)</f>
        <v>2.0522049999999998</v>
      </c>
      <c r="P4" s="58">
        <f t="shared" ref="P4:P12" si="0">M4-O4</f>
        <v>-1.4049999999996565E-3</v>
      </c>
      <c r="Q4" s="58">
        <f t="shared" ref="Q4:Q12" si="1">N4-O4</f>
        <v>9.9500000000007915E-4</v>
      </c>
      <c r="R4" s="84">
        <v>5</v>
      </c>
      <c r="S4" s="58">
        <f>C4-C$7</f>
        <v>3.6999999999998145E-3</v>
      </c>
      <c r="T4" s="58">
        <f>D4-D$7</f>
        <v>3.749999999999698E-3</v>
      </c>
      <c r="U4" s="58">
        <f>E4-E$7</f>
        <v>4.7999999999999154E-3</v>
      </c>
      <c r="V4" s="58">
        <f>F4-F$7</f>
        <v>4.3999999999999595E-3</v>
      </c>
      <c r="W4" s="58">
        <f>G4-G$7</f>
        <v>2.2999999999999687E-3</v>
      </c>
      <c r="X4" s="58">
        <f>H4-H$7</f>
        <v>4.049999999999887E-3</v>
      </c>
      <c r="Y4" s="58">
        <f>I4-I$7</f>
        <v>2.4999999999999467E-3</v>
      </c>
      <c r="Z4" s="58">
        <f>J4-J$7</f>
        <v>4.5999999999999375E-3</v>
      </c>
      <c r="AA4" s="58">
        <f>K4-K$7</f>
        <v>1.8000000000002458E-3</v>
      </c>
      <c r="AB4" s="58">
        <f>L4-L$7</f>
        <v>4.5999999999999375E-3</v>
      </c>
      <c r="AC4" s="58">
        <f t="shared" ref="AC4:AC10" si="2">MIN(S4:Z4)</f>
        <v>2.2999999999999687E-3</v>
      </c>
      <c r="AD4" s="58">
        <f t="shared" ref="AD4:AD10" si="3">MAX(S4:Z4)</f>
        <v>4.7999999999999154E-3</v>
      </c>
      <c r="AE4" s="58">
        <f>AVERAGE(S4:Z4)</f>
        <v>3.7624999999998909E-3</v>
      </c>
      <c r="AF4" s="58">
        <f t="shared" ref="AF4:AF11" si="4">AC4-AE4</f>
        <v>-1.4624999999999222E-3</v>
      </c>
      <c r="AG4" s="58">
        <f t="shared" ref="AG4:AG11" si="5">AD4-AE4</f>
        <v>1.0375000000000245E-3</v>
      </c>
      <c r="AH4" s="95">
        <v>5</v>
      </c>
      <c r="AI4" s="95">
        <v>5</v>
      </c>
      <c r="AJ4" s="95">
        <v>5</v>
      </c>
      <c r="AK4" s="95">
        <v>5</v>
      </c>
      <c r="AL4" s="95">
        <v>5</v>
      </c>
      <c r="AM4" s="95">
        <v>5</v>
      </c>
      <c r="AN4" s="95">
        <v>5</v>
      </c>
      <c r="AO4" s="95">
        <v>5</v>
      </c>
      <c r="AP4" s="95">
        <v>5</v>
      </c>
      <c r="AQ4" s="95">
        <v>5</v>
      </c>
    </row>
    <row r="5" spans="1:43" ht="15" customHeight="1">
      <c r="A5" s="58">
        <v>19.75</v>
      </c>
      <c r="B5" s="84">
        <v>19.75</v>
      </c>
      <c r="C5" s="58">
        <v>2.0498500000000002</v>
      </c>
      <c r="D5" s="58">
        <v>2.0506000000000002</v>
      </c>
      <c r="E5" s="58">
        <v>2.0505</v>
      </c>
      <c r="F5" s="58">
        <v>2.0505</v>
      </c>
      <c r="G5" s="58">
        <v>2.0501499999999999</v>
      </c>
      <c r="H5" s="58">
        <v>2.0505</v>
      </c>
      <c r="I5" s="58">
        <v>2.0501999999999998</v>
      </c>
      <c r="J5" s="58">
        <v>2.0510000000000002</v>
      </c>
      <c r="K5" s="58">
        <v>2.0482</v>
      </c>
      <c r="L5" s="58">
        <v>2.0514000000000001</v>
      </c>
      <c r="M5" s="58">
        <f t="shared" ref="M5:M12" si="6">MIN(C5:L5)</f>
        <v>2.0482</v>
      </c>
      <c r="N5" s="58">
        <f t="shared" ref="N5:N12" si="7">MAX(C5:L5)</f>
        <v>2.0514000000000001</v>
      </c>
      <c r="O5" s="58">
        <f t="shared" ref="O5:O12" si="8">AVERAGE(C5:L5)</f>
        <v>2.0502900000000004</v>
      </c>
      <c r="P5" s="58">
        <f t="shared" si="0"/>
        <v>-2.0900000000003693E-3</v>
      </c>
      <c r="Q5" s="58">
        <f t="shared" si="1"/>
        <v>1.1099999999997223E-3</v>
      </c>
      <c r="R5" s="84">
        <v>19.75</v>
      </c>
      <c r="S5" s="58">
        <f>C5-C$7</f>
        <v>1.3499999999999623E-3</v>
      </c>
      <c r="T5" s="58">
        <f>D5-D$7</f>
        <v>2.0999999999999908E-3</v>
      </c>
      <c r="U5" s="58">
        <f>E5-E$7</f>
        <v>2.0999999999999908E-3</v>
      </c>
      <c r="V5" s="58">
        <f>F5-F$7</f>
        <v>2.0999999999999908E-3</v>
      </c>
      <c r="W5" s="58">
        <f>G5-G$7</f>
        <v>1.3999999999998458E-3</v>
      </c>
      <c r="X5" s="58">
        <f>H5-H$7</f>
        <v>2.0999999999999908E-3</v>
      </c>
      <c r="Y5" s="58">
        <f>I5-I$7</f>
        <v>1.5499999999999403E-3</v>
      </c>
      <c r="Z5" s="58">
        <f>J5-J$7</f>
        <v>2.4500000000000632E-3</v>
      </c>
      <c r="AA5" s="58">
        <f>K5-K$7</f>
        <v>-7.9999999999991189E-4</v>
      </c>
      <c r="AB5" s="58">
        <f>L5-L$7</f>
        <v>3.0000000000001137E-3</v>
      </c>
      <c r="AC5" s="58">
        <f t="shared" si="2"/>
        <v>1.3499999999999623E-3</v>
      </c>
      <c r="AD5" s="58">
        <f t="shared" si="3"/>
        <v>2.4500000000000632E-3</v>
      </c>
      <c r="AE5" s="58">
        <f t="shared" ref="AE5:AE10" si="9">AVERAGE(S5:Z5)</f>
        <v>1.8937499999999718E-3</v>
      </c>
      <c r="AF5" s="58">
        <f t="shared" si="4"/>
        <v>-5.437500000000095E-4</v>
      </c>
      <c r="AG5" s="58">
        <f t="shared" si="5"/>
        <v>5.5625000000009139E-4</v>
      </c>
      <c r="AH5" s="95">
        <v>19.75</v>
      </c>
      <c r="AI5" s="95">
        <v>19.75</v>
      </c>
      <c r="AJ5" s="95">
        <v>19.75</v>
      </c>
      <c r="AK5" s="95">
        <v>19.75</v>
      </c>
      <c r="AL5" s="95">
        <v>19.75</v>
      </c>
      <c r="AM5" s="95">
        <v>19.75</v>
      </c>
      <c r="AN5" s="95">
        <v>19.75</v>
      </c>
      <c r="AO5" s="95">
        <v>19.75</v>
      </c>
      <c r="AP5" s="95">
        <v>19.75</v>
      </c>
      <c r="AQ5" s="95">
        <v>19.75</v>
      </c>
    </row>
    <row r="6" spans="1:43" ht="15" customHeight="1">
      <c r="A6" s="58">
        <v>45</v>
      </c>
      <c r="B6" s="84">
        <v>45</v>
      </c>
      <c r="C6" s="58">
        <v>2.0488499999999998</v>
      </c>
      <c r="D6" s="58">
        <v>2.0489999999999999</v>
      </c>
      <c r="E6" s="58">
        <v>2.0489999999999999</v>
      </c>
      <c r="F6" s="58">
        <v>2.0489999999999999</v>
      </c>
      <c r="G6" s="58">
        <v>2.0491999999999999</v>
      </c>
      <c r="H6" s="58">
        <v>2.0491999999999999</v>
      </c>
      <c r="I6" s="58">
        <v>2.0491999999999999</v>
      </c>
      <c r="J6" s="58">
        <v>2.0493999999999999</v>
      </c>
      <c r="K6" s="58">
        <v>2.0495000000000001</v>
      </c>
      <c r="L6" s="58">
        <v>2.0495999999999999</v>
      </c>
      <c r="M6" s="58">
        <f t="shared" si="6"/>
        <v>2.0488499999999998</v>
      </c>
      <c r="N6" s="58">
        <f t="shared" si="7"/>
        <v>2.0495999999999999</v>
      </c>
      <c r="O6" s="58">
        <f t="shared" si="8"/>
        <v>2.0491949999999997</v>
      </c>
      <c r="P6" s="58">
        <f t="shared" si="0"/>
        <v>-3.4499999999981767E-4</v>
      </c>
      <c r="Q6" s="58">
        <f t="shared" si="1"/>
        <v>4.0500000000021075E-4</v>
      </c>
      <c r="R6" s="84">
        <v>45</v>
      </c>
      <c r="S6" s="58">
        <f>C6-C$7</f>
        <v>3.4999999999962839E-4</v>
      </c>
      <c r="T6" s="58">
        <f>D6-D$7</f>
        <v>4.9999999999972289E-4</v>
      </c>
      <c r="U6" s="58">
        <f>E6-E$7</f>
        <v>5.9999999999993392E-4</v>
      </c>
      <c r="V6" s="58">
        <f>F6-F$7</f>
        <v>5.9999999999993392E-4</v>
      </c>
      <c r="W6" s="58">
        <f>G6-G$7</f>
        <v>4.4999999999983942E-4</v>
      </c>
      <c r="X6" s="58">
        <f>H6-H$7</f>
        <v>7.9999999999991189E-4</v>
      </c>
      <c r="Y6" s="58">
        <f>I6-I$7</f>
        <v>5.5000000000005045E-4</v>
      </c>
      <c r="Z6" s="58">
        <f>J6-J$7</f>
        <v>8.4999999999979536E-4</v>
      </c>
      <c r="AA6" s="58">
        <f>K6-K$7</f>
        <v>5.0000000000016698E-4</v>
      </c>
      <c r="AB6" s="58">
        <f>L6-L$7</f>
        <v>1.1999999999998678E-3</v>
      </c>
      <c r="AC6" s="58">
        <f t="shared" si="2"/>
        <v>3.4999999999962839E-4</v>
      </c>
      <c r="AD6" s="58">
        <f t="shared" si="3"/>
        <v>8.4999999999979536E-4</v>
      </c>
      <c r="AE6" s="58">
        <f t="shared" si="9"/>
        <v>5.8749999999985203E-4</v>
      </c>
      <c r="AF6" s="58">
        <f t="shared" si="4"/>
        <v>-2.3750000000022364E-4</v>
      </c>
      <c r="AG6" s="58">
        <f t="shared" si="5"/>
        <v>2.6249999999994333E-4</v>
      </c>
      <c r="AH6" s="95">
        <v>45</v>
      </c>
      <c r="AI6" s="95">
        <v>45</v>
      </c>
      <c r="AJ6" s="95">
        <v>45</v>
      </c>
      <c r="AK6" s="95">
        <v>45</v>
      </c>
      <c r="AL6" s="95">
        <v>45</v>
      </c>
      <c r="AM6" s="95">
        <v>45</v>
      </c>
      <c r="AN6" s="95">
        <v>45</v>
      </c>
      <c r="AO6" s="95">
        <v>45</v>
      </c>
      <c r="AP6" s="95">
        <v>45</v>
      </c>
      <c r="AQ6" s="95">
        <v>45</v>
      </c>
    </row>
    <row r="7" spans="1:43" ht="15" customHeight="1">
      <c r="A7" s="58">
        <v>90</v>
      </c>
      <c r="B7" s="84">
        <v>90</v>
      </c>
      <c r="C7" s="58">
        <v>2.0485000000000002</v>
      </c>
      <c r="D7" s="58">
        <v>2.0485000000000002</v>
      </c>
      <c r="E7" s="58">
        <v>2.0484</v>
      </c>
      <c r="F7" s="58">
        <v>2.0484</v>
      </c>
      <c r="G7" s="58">
        <v>2.0487500000000001</v>
      </c>
      <c r="H7" s="58">
        <v>2.0484</v>
      </c>
      <c r="I7" s="58">
        <v>2.0486499999999999</v>
      </c>
      <c r="J7" s="58">
        <v>2.0485500000000001</v>
      </c>
      <c r="K7" s="58">
        <v>2.0489999999999999</v>
      </c>
      <c r="L7" s="58">
        <v>2.0484</v>
      </c>
      <c r="M7" s="58">
        <f t="shared" si="6"/>
        <v>2.0484</v>
      </c>
      <c r="N7" s="58">
        <f t="shared" si="7"/>
        <v>2.0489999999999999</v>
      </c>
      <c r="O7" s="58">
        <f t="shared" si="8"/>
        <v>2.0485549999999999</v>
      </c>
      <c r="P7" s="58">
        <f t="shared" si="0"/>
        <v>-1.5499999999990521E-4</v>
      </c>
      <c r="Q7" s="58">
        <f t="shared" si="1"/>
        <v>4.4500000000002871E-4</v>
      </c>
      <c r="R7" s="84">
        <v>90</v>
      </c>
      <c r="S7" s="58">
        <f>C7-C$7</f>
        <v>0</v>
      </c>
      <c r="T7" s="58">
        <f>D7-D$7</f>
        <v>0</v>
      </c>
      <c r="U7" s="58">
        <f>E7-E$7</f>
        <v>0</v>
      </c>
      <c r="V7" s="58">
        <f>F7-F$7</f>
        <v>0</v>
      </c>
      <c r="W7" s="58">
        <f>G7-G$7</f>
        <v>0</v>
      </c>
      <c r="X7" s="58">
        <f>H7-H$7</f>
        <v>0</v>
      </c>
      <c r="Y7" s="58">
        <f>I7-I$7</f>
        <v>0</v>
      </c>
      <c r="Z7" s="58">
        <f>J7-J$7</f>
        <v>0</v>
      </c>
      <c r="AA7" s="58">
        <f>K7-K$7</f>
        <v>0</v>
      </c>
      <c r="AB7" s="58">
        <f>L7-L$7</f>
        <v>0</v>
      </c>
      <c r="AC7" s="58">
        <f t="shared" si="2"/>
        <v>0</v>
      </c>
      <c r="AD7" s="58">
        <f t="shared" si="3"/>
        <v>0</v>
      </c>
      <c r="AE7" s="58">
        <f t="shared" si="9"/>
        <v>0</v>
      </c>
      <c r="AF7" s="58">
        <f t="shared" si="4"/>
        <v>0</v>
      </c>
      <c r="AG7" s="58">
        <f t="shared" si="5"/>
        <v>0</v>
      </c>
      <c r="AH7" s="95">
        <v>90</v>
      </c>
      <c r="AI7" s="95">
        <v>90</v>
      </c>
      <c r="AJ7" s="95">
        <v>90</v>
      </c>
      <c r="AK7" s="95">
        <v>90</v>
      </c>
      <c r="AL7" s="95">
        <v>90</v>
      </c>
      <c r="AM7" s="95">
        <v>90</v>
      </c>
      <c r="AN7" s="95">
        <v>90</v>
      </c>
      <c r="AO7" s="95">
        <v>90</v>
      </c>
      <c r="AP7" s="95">
        <v>90</v>
      </c>
      <c r="AQ7" s="95">
        <v>90</v>
      </c>
    </row>
    <row r="8" spans="1:43" ht="15" customHeight="1">
      <c r="A8" s="58">
        <v>135</v>
      </c>
      <c r="B8" s="84">
        <v>135</v>
      </c>
      <c r="C8" s="58">
        <v>2.0491999999999999</v>
      </c>
      <c r="D8" s="58">
        <v>2.0484</v>
      </c>
      <c r="E8" s="58">
        <v>2.0489999999999999</v>
      </c>
      <c r="F8" s="58">
        <v>2.0493999999999999</v>
      </c>
      <c r="G8" s="58">
        <v>2.0493999999999999</v>
      </c>
      <c r="H8" s="58">
        <v>2.0489999999999999</v>
      </c>
      <c r="I8" s="58">
        <v>2.0493000000000001</v>
      </c>
      <c r="J8" s="58">
        <v>2.0492499999999998</v>
      </c>
      <c r="K8" s="58">
        <v>2.0495999999999999</v>
      </c>
      <c r="L8" s="58">
        <v>2.0489999999999999</v>
      </c>
      <c r="M8" s="58">
        <f t="shared" si="6"/>
        <v>2.0484</v>
      </c>
      <c r="N8" s="58">
        <f t="shared" si="7"/>
        <v>2.0495999999999999</v>
      </c>
      <c r="O8" s="58">
        <f t="shared" si="8"/>
        <v>2.0491549999999998</v>
      </c>
      <c r="P8" s="58">
        <f t="shared" si="0"/>
        <v>-7.5499999999983913E-4</v>
      </c>
      <c r="Q8" s="58">
        <f t="shared" si="1"/>
        <v>4.4500000000002871E-4</v>
      </c>
      <c r="R8" s="84">
        <v>135</v>
      </c>
      <c r="S8" s="58">
        <f>C8-C$7</f>
        <v>6.9999999999970086E-4</v>
      </c>
      <c r="T8" s="58">
        <f>D8-D$7</f>
        <v>-1.0000000000021103E-4</v>
      </c>
      <c r="U8" s="58">
        <f>E8-E$7</f>
        <v>5.9999999999993392E-4</v>
      </c>
      <c r="V8" s="58">
        <f>F8-F$7</f>
        <v>9.9999999999988987E-4</v>
      </c>
      <c r="W8" s="58">
        <f>G8-G$7</f>
        <v>6.4999999999981739E-4</v>
      </c>
      <c r="X8" s="58">
        <f>H8-H$7</f>
        <v>5.9999999999993392E-4</v>
      </c>
      <c r="Y8" s="58">
        <f>I8-I$7</f>
        <v>6.5000000000026148E-4</v>
      </c>
      <c r="Z8" s="58">
        <f>J8-J$7</f>
        <v>6.9999999999970086E-4</v>
      </c>
      <c r="AA8" s="58">
        <f>K8-K$7</f>
        <v>5.9999999999993392E-4</v>
      </c>
      <c r="AB8" s="58">
        <f>L8-L$7</f>
        <v>5.9999999999993392E-4</v>
      </c>
      <c r="AC8" s="58">
        <f t="shared" si="2"/>
        <v>-1.0000000000021103E-4</v>
      </c>
      <c r="AD8" s="58">
        <f t="shared" si="3"/>
        <v>9.9999999999988987E-4</v>
      </c>
      <c r="AE8" s="58">
        <f t="shared" si="9"/>
        <v>5.9999999999987841E-4</v>
      </c>
      <c r="AF8" s="58">
        <f t="shared" si="4"/>
        <v>-7.0000000000008944E-4</v>
      </c>
      <c r="AG8" s="58">
        <f t="shared" si="5"/>
        <v>4.0000000000001146E-4</v>
      </c>
      <c r="AH8" s="95">
        <v>135</v>
      </c>
      <c r="AI8" s="95">
        <v>135</v>
      </c>
      <c r="AJ8" s="95">
        <v>135</v>
      </c>
      <c r="AK8" s="95">
        <v>135</v>
      </c>
      <c r="AL8" s="95">
        <v>135</v>
      </c>
      <c r="AM8" s="95">
        <v>135</v>
      </c>
      <c r="AN8" s="95">
        <v>135</v>
      </c>
      <c r="AO8" s="95">
        <v>135</v>
      </c>
      <c r="AP8" s="95">
        <v>135</v>
      </c>
      <c r="AQ8" s="95">
        <v>135</v>
      </c>
    </row>
    <row r="9" spans="1:43" ht="15" customHeight="1">
      <c r="A9" s="58">
        <v>160.25</v>
      </c>
      <c r="B9" s="84">
        <v>160.25</v>
      </c>
      <c r="C9" s="58">
        <v>2.0506000000000002</v>
      </c>
      <c r="D9" s="58">
        <v>2.0503999999999998</v>
      </c>
      <c r="E9" s="58">
        <v>2.0501999999999998</v>
      </c>
      <c r="F9" s="58">
        <v>2.0506000000000002</v>
      </c>
      <c r="G9" s="58">
        <v>2.0506000000000002</v>
      </c>
      <c r="H9" s="58">
        <v>2.0506000000000002</v>
      </c>
      <c r="I9" s="58">
        <v>2.0501999999999998</v>
      </c>
      <c r="J9" s="58">
        <v>2.0505499999999999</v>
      </c>
      <c r="K9" s="58">
        <v>2.0508000000000002</v>
      </c>
      <c r="L9" s="58">
        <v>2.0501999999999998</v>
      </c>
      <c r="M9" s="58">
        <f t="shared" si="6"/>
        <v>2.0501999999999998</v>
      </c>
      <c r="N9" s="58">
        <f t="shared" si="7"/>
        <v>2.0508000000000002</v>
      </c>
      <c r="O9" s="58">
        <f t="shared" si="8"/>
        <v>2.0504749999999996</v>
      </c>
      <c r="P9" s="58">
        <f t="shared" si="0"/>
        <v>-2.7499999999980318E-4</v>
      </c>
      <c r="Q9" s="58">
        <f t="shared" si="1"/>
        <v>3.2500000000057483E-4</v>
      </c>
      <c r="R9" s="84">
        <v>160.25</v>
      </c>
      <c r="S9" s="58">
        <f>C9-C$7</f>
        <v>2.0999999999999908E-3</v>
      </c>
      <c r="T9" s="58">
        <f>D9-D$7</f>
        <v>1.8999999999995687E-3</v>
      </c>
      <c r="U9" s="58">
        <f>E9-E$7</f>
        <v>1.7999999999998018E-3</v>
      </c>
      <c r="V9" s="58">
        <f>F9-F$7</f>
        <v>2.2000000000002018E-3</v>
      </c>
      <c r="W9" s="58">
        <f>G9-G$7</f>
        <v>1.8500000000001293E-3</v>
      </c>
      <c r="X9" s="58">
        <f>H9-H$7</f>
        <v>2.2000000000002018E-3</v>
      </c>
      <c r="Y9" s="58">
        <f>I9-I$7</f>
        <v>1.5499999999999403E-3</v>
      </c>
      <c r="Z9" s="58">
        <f>J9-J$7</f>
        <v>1.9999999999997797E-3</v>
      </c>
      <c r="AA9" s="58">
        <f>K9-K$7</f>
        <v>1.8000000000002458E-3</v>
      </c>
      <c r="AB9" s="58">
        <f>L9-L$7</f>
        <v>1.7999999999998018E-3</v>
      </c>
      <c r="AC9" s="58">
        <f t="shared" si="2"/>
        <v>1.5499999999999403E-3</v>
      </c>
      <c r="AD9" s="58">
        <f t="shared" si="3"/>
        <v>2.2000000000002018E-3</v>
      </c>
      <c r="AE9" s="58">
        <f t="shared" si="9"/>
        <v>1.9499999999999518E-3</v>
      </c>
      <c r="AF9" s="58">
        <f t="shared" si="4"/>
        <v>-4.0000000000001146E-4</v>
      </c>
      <c r="AG9" s="58">
        <f t="shared" si="5"/>
        <v>2.5000000000025002E-4</v>
      </c>
      <c r="AH9" s="95">
        <v>160.25</v>
      </c>
      <c r="AI9" s="95">
        <v>160.25</v>
      </c>
      <c r="AJ9" s="95">
        <v>160.25</v>
      </c>
      <c r="AK9" s="95">
        <v>160.25</v>
      </c>
      <c r="AL9" s="95">
        <v>160.25</v>
      </c>
      <c r="AM9" s="95">
        <v>160.25</v>
      </c>
      <c r="AN9" s="95">
        <v>160.25</v>
      </c>
      <c r="AO9" s="95">
        <v>160.25</v>
      </c>
      <c r="AP9" s="95">
        <v>160.25</v>
      </c>
      <c r="AQ9" s="95">
        <v>160.25</v>
      </c>
    </row>
    <row r="10" spans="1:43" ht="15" customHeight="1">
      <c r="A10" s="58">
        <v>175</v>
      </c>
      <c r="B10" s="84">
        <v>175</v>
      </c>
      <c r="C10" s="58">
        <v>2.0514999999999999</v>
      </c>
      <c r="D10" s="58">
        <v>2.0520499999999999</v>
      </c>
      <c r="E10" s="58">
        <v>2.0510000000000002</v>
      </c>
      <c r="F10" s="58">
        <v>2.052</v>
      </c>
      <c r="G10" s="58">
        <v>2.0528</v>
      </c>
      <c r="H10" s="58">
        <v>2.0520999999999998</v>
      </c>
      <c r="I10" s="58">
        <v>2.0524</v>
      </c>
      <c r="J10" s="58">
        <v>2.0512000000000001</v>
      </c>
      <c r="K10" s="58">
        <v>2.0526499999999999</v>
      </c>
      <c r="L10" s="58">
        <v>2.0518000000000001</v>
      </c>
      <c r="M10" s="58">
        <f t="shared" si="6"/>
        <v>2.0510000000000002</v>
      </c>
      <c r="N10" s="58">
        <f t="shared" si="7"/>
        <v>2.0528</v>
      </c>
      <c r="O10" s="58">
        <f t="shared" si="8"/>
        <v>2.0519500000000002</v>
      </c>
      <c r="P10" s="58">
        <f t="shared" si="0"/>
        <v>-9.5000000000000639E-4</v>
      </c>
      <c r="Q10" s="58">
        <f t="shared" si="1"/>
        <v>8.4999999999979536E-4</v>
      </c>
      <c r="R10" s="84">
        <v>175</v>
      </c>
      <c r="S10" s="58">
        <f>C10-C$7</f>
        <v>2.9999999999996696E-3</v>
      </c>
      <c r="T10" s="58">
        <f>D10-D$7</f>
        <v>3.54999999999972E-3</v>
      </c>
      <c r="U10" s="58">
        <f>E10-E$7</f>
        <v>2.6000000000001577E-3</v>
      </c>
      <c r="V10" s="58">
        <f>F10-F$7</f>
        <v>3.6000000000000476E-3</v>
      </c>
      <c r="W10" s="58">
        <f>G10-G$7</f>
        <v>4.049999999999887E-3</v>
      </c>
      <c r="X10" s="58">
        <f>H10-H$7</f>
        <v>3.6999999999998145E-3</v>
      </c>
      <c r="Y10" s="58">
        <f>I10-I$7</f>
        <v>3.7500000000001421E-3</v>
      </c>
      <c r="Z10" s="58">
        <f>J10-J$7</f>
        <v>2.6500000000000412E-3</v>
      </c>
      <c r="AA10" s="58">
        <f>K10-K$7</f>
        <v>3.6499999999999311E-3</v>
      </c>
      <c r="AB10" s="58">
        <f>L10-L$7</f>
        <v>3.4000000000000696E-3</v>
      </c>
      <c r="AC10" s="58">
        <f t="shared" si="2"/>
        <v>2.6000000000001577E-3</v>
      </c>
      <c r="AD10" s="58">
        <f t="shared" si="3"/>
        <v>4.049999999999887E-3</v>
      </c>
      <c r="AE10" s="58">
        <f t="shared" si="9"/>
        <v>3.362499999999935E-3</v>
      </c>
      <c r="AF10" s="58">
        <f t="shared" si="4"/>
        <v>-7.6249999999977724E-4</v>
      </c>
      <c r="AG10" s="58">
        <f t="shared" si="5"/>
        <v>6.8749999999995204E-4</v>
      </c>
      <c r="AH10" s="95">
        <v>175</v>
      </c>
      <c r="AI10" s="95">
        <v>175</v>
      </c>
      <c r="AJ10" s="95">
        <v>175</v>
      </c>
      <c r="AK10" s="95">
        <v>175</v>
      </c>
      <c r="AL10" s="95">
        <v>175</v>
      </c>
      <c r="AM10" s="95">
        <v>175</v>
      </c>
      <c r="AN10" s="95">
        <v>175</v>
      </c>
      <c r="AO10" s="95">
        <v>175</v>
      </c>
      <c r="AP10" s="95">
        <v>175</v>
      </c>
      <c r="AQ10" s="95">
        <v>175</v>
      </c>
    </row>
    <row r="11" spans="1:43" ht="15" customHeight="1">
      <c r="A11" s="58" t="s">
        <v>269</v>
      </c>
      <c r="B11" s="9" t="s">
        <v>157</v>
      </c>
      <c r="C11" s="58">
        <v>7.8700000000000006E-2</v>
      </c>
      <c r="D11" s="58">
        <v>7.8649999999999998E-2</v>
      </c>
      <c r="E11" s="58">
        <v>7.8700000000000006E-2</v>
      </c>
      <c r="F11" s="58">
        <v>7.8700000000000006E-2</v>
      </c>
      <c r="G11" s="58">
        <v>7.8649999999999998E-2</v>
      </c>
      <c r="H11" s="58">
        <v>7.8600000000000003E-2</v>
      </c>
      <c r="I11" s="58">
        <v>7.8649999999999998E-2</v>
      </c>
      <c r="J11" s="58">
        <v>7.8649999999999998E-2</v>
      </c>
      <c r="K11" s="58">
        <v>7.8700000000000006E-2</v>
      </c>
      <c r="L11" s="58">
        <v>7.8700000000000006E-2</v>
      </c>
      <c r="M11" s="58">
        <f t="shared" si="6"/>
        <v>7.8600000000000003E-2</v>
      </c>
      <c r="N11" s="58">
        <f t="shared" si="7"/>
        <v>7.8700000000000006E-2</v>
      </c>
      <c r="O11" s="58">
        <f t="shared" si="8"/>
        <v>7.866999999999999E-2</v>
      </c>
      <c r="P11" s="58">
        <f t="shared" si="0"/>
        <v>-6.9999999999986739E-5</v>
      </c>
      <c r="Q11" s="58">
        <f t="shared" si="1"/>
        <v>3.0000000000016125E-5</v>
      </c>
      <c r="AC11" s="58">
        <f>MIN(S5:AB5,S9:AB9)</f>
        <v>-7.9999999999991189E-4</v>
      </c>
      <c r="AD11" s="58">
        <f>MAX(S5:AB5,S9:AB9)</f>
        <v>3.0000000000001137E-3</v>
      </c>
      <c r="AE11" s="58">
        <f>MODE(S5:AB5,S9:AB9)</f>
        <v>2.0999999999999908E-3</v>
      </c>
      <c r="AF11" s="58">
        <f t="shared" si="4"/>
        <v>-2.8999999999999027E-3</v>
      </c>
      <c r="AG11" s="58">
        <f t="shared" si="5"/>
        <v>9.0000000000012292E-4</v>
      </c>
    </row>
    <row r="12" spans="1:43" ht="15" customHeight="1">
      <c r="A12" s="58" t="s">
        <v>269</v>
      </c>
      <c r="B12" s="9" t="s">
        <v>165</v>
      </c>
      <c r="C12" s="58">
        <v>7.8600000000000003E-2</v>
      </c>
      <c r="D12" s="58">
        <v>7.8549999999999995E-2</v>
      </c>
      <c r="E12" s="58">
        <v>7.8750000000000001E-2</v>
      </c>
      <c r="F12" s="58">
        <v>7.8700000000000006E-2</v>
      </c>
      <c r="G12" s="58">
        <v>7.8700000000000006E-2</v>
      </c>
      <c r="H12" s="58">
        <v>7.85E-2</v>
      </c>
      <c r="I12" s="58">
        <v>7.8600000000000003E-2</v>
      </c>
      <c r="J12" s="58">
        <v>7.85E-2</v>
      </c>
      <c r="K12" s="58">
        <v>7.8649999999999998E-2</v>
      </c>
      <c r="L12" s="58">
        <v>7.8600000000000003E-2</v>
      </c>
      <c r="M12" s="58">
        <f t="shared" si="6"/>
        <v>7.85E-2</v>
      </c>
      <c r="N12" s="58">
        <f t="shared" si="7"/>
        <v>7.8750000000000001E-2</v>
      </c>
      <c r="O12" s="58">
        <f t="shared" si="8"/>
        <v>7.8615000000000004E-2</v>
      </c>
      <c r="P12" s="58">
        <f t="shared" si="0"/>
        <v>-1.1500000000000399E-4</v>
      </c>
      <c r="Q12" s="58">
        <f t="shared" si="1"/>
        <v>1.3499999999999623E-4</v>
      </c>
      <c r="S12" s="58">
        <f>O7*25.4</f>
        <v>52.033296999999997</v>
      </c>
    </row>
    <row r="13" spans="1:43" ht="15" customHeight="1">
      <c r="A13" s="58" t="s">
        <v>243</v>
      </c>
      <c r="C13" s="58">
        <f>C7-'Rod Journals'!$O$2</f>
        <v>2.0000000000002238E-3</v>
      </c>
      <c r="D13" s="58">
        <f>D7-'Rod Journals'!$O$2</f>
        <v>2.0000000000002238E-3</v>
      </c>
      <c r="E13" s="58">
        <f>E7-'Rod Journals'!$O$2</f>
        <v>1.9000000000000128E-3</v>
      </c>
      <c r="F13" s="58">
        <f>F7-'Rod Journals'!$O$2</f>
        <v>1.9000000000000128E-3</v>
      </c>
      <c r="G13" s="58">
        <f>G7-'Rod Journals'!$O$2</f>
        <v>2.2500000000000853E-3</v>
      </c>
      <c r="H13" s="58">
        <f>H7-'Rod Journals'!$O$2</f>
        <v>1.9000000000000128E-3</v>
      </c>
      <c r="I13" s="58">
        <f>I7-'Rod Journals'!$O$2</f>
        <v>2.1499999999998742E-3</v>
      </c>
      <c r="J13" s="58">
        <f>J7-'Rod Journals'!$O$2</f>
        <v>2.0500000000001073E-3</v>
      </c>
      <c r="K13" s="58">
        <f>K7-'Rod Journals'!$O$2</f>
        <v>2.4999999999999467E-3</v>
      </c>
      <c r="L13" s="58">
        <f>L7-'Rod Journals'!$O$2</f>
        <v>1.9000000000000128E-3</v>
      </c>
      <c r="M13" s="58">
        <f>MIN(C13:L13)</f>
        <v>1.9000000000000128E-3</v>
      </c>
      <c r="N13" s="58">
        <f>MAX(C13:L13)</f>
        <v>2.4999999999999467E-3</v>
      </c>
      <c r="O13" s="58">
        <f>AVERAGE(C13:L13)</f>
        <v>2.0550000000000511E-3</v>
      </c>
      <c r="P13" s="58">
        <f>MIN(C14:L14)-O13</f>
        <v>-4.5500000000022736E-4</v>
      </c>
      <c r="Q13" s="58">
        <f>MAX(C15:L15)-O13</f>
        <v>2.9499999999980106E-4</v>
      </c>
    </row>
    <row r="14" spans="1:43" ht="15" customHeight="1">
      <c r="A14" s="58" t="s">
        <v>244</v>
      </c>
      <c r="C14" s="58">
        <f>C7-'Rod Journals'!$N$2</f>
        <v>1.7000000000000348E-3</v>
      </c>
      <c r="D14" s="58">
        <f>D7-'Rod Journals'!$N$2</f>
        <v>1.7000000000000348E-3</v>
      </c>
      <c r="E14" s="58">
        <f>E7-'Rod Journals'!$N$2</f>
        <v>1.5999999999998238E-3</v>
      </c>
      <c r="F14" s="58">
        <f>F7-'Rod Journals'!$N$2</f>
        <v>1.5999999999998238E-3</v>
      </c>
      <c r="G14" s="58">
        <f>G7-'Rod Journals'!$N$2</f>
        <v>1.9499999999998963E-3</v>
      </c>
      <c r="H14" s="58">
        <f>H7-'Rod Journals'!$N$2</f>
        <v>1.5999999999998238E-3</v>
      </c>
      <c r="I14" s="58">
        <f>I7-'Rod Journals'!$N$2</f>
        <v>1.8499999999996852E-3</v>
      </c>
      <c r="J14" s="58">
        <f>J7-'Rod Journals'!$N$2</f>
        <v>1.7499999999999183E-3</v>
      </c>
      <c r="M14" s="58">
        <f>M21-'Rod Journals'!$N$2</f>
        <v>1.5999999999998238E-3</v>
      </c>
    </row>
    <row r="15" spans="1:43" ht="15" customHeight="1">
      <c r="A15" s="58" t="s">
        <v>245</v>
      </c>
      <c r="C15" s="58">
        <f>C7-'Rod Journals'!$M$2</f>
        <v>2.0999999999999908E-3</v>
      </c>
      <c r="D15" s="58">
        <f>D7-'Rod Journals'!$M$2</f>
        <v>2.0999999999999908E-3</v>
      </c>
      <c r="E15" s="58">
        <f>E7-'Rod Journals'!$M$2</f>
        <v>1.9999999999997797E-3</v>
      </c>
      <c r="F15" s="58">
        <f>F7-'Rod Journals'!$M$2</f>
        <v>1.9999999999997797E-3</v>
      </c>
      <c r="G15" s="58">
        <f>G7-'Rod Journals'!$M$2</f>
        <v>2.3499999999998522E-3</v>
      </c>
      <c r="H15" s="58">
        <f>H7-'Rod Journals'!$M$2</f>
        <v>1.9999999999997797E-3</v>
      </c>
      <c r="I15" s="58">
        <f>I7-'Rod Journals'!$M$2</f>
        <v>2.2499999999996412E-3</v>
      </c>
      <c r="J15" s="58">
        <f>J7-'Rod Journals'!$M$2</f>
        <v>2.1499999999998742E-3</v>
      </c>
      <c r="N15" s="58">
        <f>N21-'Rod Journals'!$M$2</f>
        <v>2.5999999999997137E-3</v>
      </c>
    </row>
    <row r="16" spans="1:43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58">
        <f>M14</f>
        <v>1.5999999999998238E-3</v>
      </c>
      <c r="N16" s="58">
        <f>N15</f>
        <v>2.5999999999997137E-3</v>
      </c>
      <c r="O16" s="58">
        <f>ROUND(AVERAGE(S21:Z21),4)</f>
        <v>2E-3</v>
      </c>
      <c r="P16" s="58">
        <f>M16-O16</f>
        <v>-4.0000000000017626E-4</v>
      </c>
      <c r="Q16" s="58">
        <f>N16-O16</f>
        <v>5.9999999999971361E-4</v>
      </c>
    </row>
    <row r="20" spans="1:33">
      <c r="C20" s="99" t="s">
        <v>175</v>
      </c>
      <c r="D20" s="99" t="s">
        <v>176</v>
      </c>
      <c r="E20" s="99" t="s">
        <v>177</v>
      </c>
      <c r="F20" s="99" t="s">
        <v>178</v>
      </c>
      <c r="G20" s="99" t="s">
        <v>179</v>
      </c>
      <c r="H20" s="99" t="s">
        <v>180</v>
      </c>
      <c r="I20" s="99" t="s">
        <v>181</v>
      </c>
      <c r="J20" s="99" t="s">
        <v>182</v>
      </c>
      <c r="K20" s="99" t="s">
        <v>450</v>
      </c>
      <c r="L20" s="99" t="s">
        <v>451</v>
      </c>
      <c r="M20" s="53" t="s">
        <v>195</v>
      </c>
      <c r="N20" s="53" t="s">
        <v>183</v>
      </c>
      <c r="O20" s="53" t="s">
        <v>184</v>
      </c>
      <c r="P20" s="53" t="s">
        <v>185</v>
      </c>
      <c r="Q20" s="53" t="s">
        <v>186</v>
      </c>
      <c r="S20" s="53" t="s">
        <v>275</v>
      </c>
      <c r="T20" s="53" t="s">
        <v>276</v>
      </c>
      <c r="U20" s="53" t="s">
        <v>277</v>
      </c>
      <c r="V20" s="53" t="s">
        <v>278</v>
      </c>
      <c r="W20" s="53" t="s">
        <v>279</v>
      </c>
      <c r="X20" s="53" t="s">
        <v>280</v>
      </c>
      <c r="Y20" s="53" t="s">
        <v>281</v>
      </c>
      <c r="Z20" s="53" t="s">
        <v>282</v>
      </c>
      <c r="AA20" s="53" t="s">
        <v>455</v>
      </c>
      <c r="AB20" s="53" t="s">
        <v>456</v>
      </c>
      <c r="AC20" s="53" t="s">
        <v>195</v>
      </c>
      <c r="AD20" s="53" t="s">
        <v>183</v>
      </c>
      <c r="AE20" s="53" t="s">
        <v>184</v>
      </c>
      <c r="AF20" s="53" t="s">
        <v>185</v>
      </c>
      <c r="AG20" s="53" t="s">
        <v>186</v>
      </c>
    </row>
    <row r="21" spans="1:33">
      <c r="A21" s="58" t="s">
        <v>199</v>
      </c>
      <c r="C21" s="58">
        <f>C7</f>
        <v>2.0485000000000002</v>
      </c>
      <c r="D21" s="58">
        <f t="shared" ref="D21:L21" si="10">D7</f>
        <v>2.0485000000000002</v>
      </c>
      <c r="E21" s="58">
        <f t="shared" si="10"/>
        <v>2.0484</v>
      </c>
      <c r="F21" s="58">
        <f t="shared" si="10"/>
        <v>2.0484</v>
      </c>
      <c r="G21" s="58">
        <f t="shared" si="10"/>
        <v>2.0487500000000001</v>
      </c>
      <c r="H21" s="58">
        <f t="shared" si="10"/>
        <v>2.0484</v>
      </c>
      <c r="I21" s="58">
        <f t="shared" si="10"/>
        <v>2.0486499999999999</v>
      </c>
      <c r="J21" s="58">
        <f t="shared" si="10"/>
        <v>2.0485500000000001</v>
      </c>
      <c r="K21" s="58">
        <f t="shared" si="10"/>
        <v>2.0489999999999999</v>
      </c>
      <c r="L21" s="58">
        <f t="shared" si="10"/>
        <v>2.0484</v>
      </c>
      <c r="M21" s="58">
        <f>MIN(C21:L21)</f>
        <v>2.0484</v>
      </c>
      <c r="N21" s="58">
        <f>MAX(C21:L21)</f>
        <v>2.0489999999999999</v>
      </c>
      <c r="O21" s="58">
        <f>MODE(C21:L21)</f>
        <v>2.0484</v>
      </c>
      <c r="P21" s="58">
        <f t="shared" ref="P21" si="11">M21-O21</f>
        <v>0</v>
      </c>
      <c r="Q21" s="58">
        <f t="shared" ref="Q21" si="12">N21-O21</f>
        <v>5.9999999999993392E-4</v>
      </c>
      <c r="S21" s="58">
        <f>C21-'Rod Journals'!$O$2</f>
        <v>2.0000000000002238E-3</v>
      </c>
      <c r="T21" s="58">
        <f>D21-'Rod Journals'!$O$2</f>
        <v>2.0000000000002238E-3</v>
      </c>
      <c r="U21" s="58">
        <f>E21-'Rod Journals'!$O$2</f>
        <v>1.9000000000000128E-3</v>
      </c>
      <c r="V21" s="58">
        <f>F21-'Rod Journals'!$O$2</f>
        <v>1.9000000000000128E-3</v>
      </c>
      <c r="W21" s="58">
        <f>G21-'Rod Journals'!$O$2</f>
        <v>2.2500000000000853E-3</v>
      </c>
      <c r="X21" s="58">
        <f>H21-'Rod Journals'!$O$2</f>
        <v>1.9000000000000128E-3</v>
      </c>
      <c r="Y21" s="58">
        <f>I21-'Rod Journals'!$O$2</f>
        <v>2.1499999999998742E-3</v>
      </c>
      <c r="Z21" s="58">
        <f>J21-'Rod Journals'!$O$2</f>
        <v>2.0500000000001073E-3</v>
      </c>
      <c r="AA21" s="58">
        <f>K21-'Rod Journals'!$O$2</f>
        <v>2.4999999999999467E-3</v>
      </c>
      <c r="AB21" s="58">
        <f>L21-'Rod Journals'!$O$2</f>
        <v>1.9000000000000128E-3</v>
      </c>
      <c r="AC21" s="58">
        <f>MIN(S21:Z24)</f>
        <v>1.9000000000000128E-3</v>
      </c>
      <c r="AD21" s="58">
        <f>MAX(S21:AC24)</f>
        <v>2.4999999999999467E-3</v>
      </c>
      <c r="AE21" s="58">
        <f>ROUND(AVERAGE(S21:AD24),4)</f>
        <v>2.0999999999999999E-3</v>
      </c>
      <c r="AF21" s="58">
        <f t="shared" ref="AF21" si="13">AC21-AE21</f>
        <v>-1.9999999999998708E-4</v>
      </c>
      <c r="AG21" s="58">
        <f t="shared" ref="AG21" si="14">AD21-AE21</f>
        <v>3.9999999999994684E-4</v>
      </c>
    </row>
  </sheetData>
  <mergeCells count="1">
    <mergeCell ref="S2:Z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6"/>
  <sheetViews>
    <sheetView workbookViewId="0">
      <selection activeCell="AD3" sqref="AD3:AK10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29" ht="15" customHeight="1">
      <c r="A1" s="58" t="s">
        <v>239</v>
      </c>
      <c r="B1" s="9" t="s">
        <v>272</v>
      </c>
    </row>
    <row r="2" spans="1:29" ht="15" customHeight="1">
      <c r="B2" s="9" t="s">
        <v>241</v>
      </c>
      <c r="C2" s="58">
        <v>76.599999999999994</v>
      </c>
      <c r="D2" s="58">
        <v>76.599999999999994</v>
      </c>
      <c r="E2" s="58">
        <v>76.5</v>
      </c>
      <c r="F2" s="58">
        <v>76.5</v>
      </c>
      <c r="G2" s="58">
        <v>76.400000000000006</v>
      </c>
      <c r="H2" s="58">
        <v>76.400000000000006</v>
      </c>
      <c r="I2" s="58">
        <v>76.3</v>
      </c>
      <c r="J2" s="58">
        <v>76.599999999999994</v>
      </c>
      <c r="Q2" s="101" t="s">
        <v>270</v>
      </c>
      <c r="R2" s="101"/>
      <c r="S2" s="101"/>
      <c r="T2" s="101"/>
      <c r="U2" s="101"/>
      <c r="V2" s="101"/>
      <c r="W2" s="101"/>
      <c r="X2" s="101"/>
    </row>
    <row r="3" spans="1:29" ht="15" customHeight="1">
      <c r="B3" s="9" t="s">
        <v>242</v>
      </c>
      <c r="C3" s="58">
        <v>71.599999999999994</v>
      </c>
      <c r="D3" s="58">
        <v>71.2</v>
      </c>
      <c r="E3" s="58">
        <v>71.599999999999994</v>
      </c>
      <c r="F3" s="58">
        <v>71.599999999999994</v>
      </c>
      <c r="G3" s="58">
        <v>71.7</v>
      </c>
      <c r="H3" s="58">
        <v>72.099999999999994</v>
      </c>
      <c r="I3" s="58">
        <v>71.900000000000006</v>
      </c>
      <c r="J3" s="58">
        <v>72.5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K4" s="58">
        <f t="shared" ref="K4:K14" si="0">MIN(C4:J4)</f>
        <v>0</v>
      </c>
      <c r="L4" s="58">
        <f t="shared" ref="L4:L13" si="1">MAX(C4:J4)</f>
        <v>0</v>
      </c>
      <c r="M4" s="58" t="e">
        <f>MODE(C4:J4)</f>
        <v>#N/A</v>
      </c>
      <c r="N4" s="58" t="e">
        <f t="shared" ref="N4:N12" si="2">K4-M4</f>
        <v>#N/A</v>
      </c>
      <c r="O4" s="58" t="e">
        <f t="shared" ref="O4:O12" si="3">L4-M4</f>
        <v>#N/A</v>
      </c>
      <c r="Q4" s="58">
        <f t="shared" ref="Q4:X10" si="4">C4-C$7</f>
        <v>-2.0478000000000001</v>
      </c>
      <c r="R4" s="58">
        <f t="shared" si="4"/>
        <v>-2.0478000000000001</v>
      </c>
      <c r="S4" s="58">
        <f t="shared" si="4"/>
        <v>-2.04765</v>
      </c>
      <c r="T4" s="58">
        <f t="shared" si="4"/>
        <v>-2.0478000000000001</v>
      </c>
      <c r="U4" s="58">
        <f t="shared" si="4"/>
        <v>-2.0478000000000001</v>
      </c>
      <c r="V4" s="58">
        <f t="shared" si="4"/>
        <v>-2.0476999999999999</v>
      </c>
      <c r="W4" s="58">
        <f t="shared" si="4"/>
        <v>-2.0478000000000001</v>
      </c>
      <c r="X4" s="58">
        <f t="shared" si="4"/>
        <v>-2.0476000000000001</v>
      </c>
      <c r="Y4" s="58">
        <f t="shared" ref="Y4:Y10" si="5">MIN(Q4:X4)</f>
        <v>-2.0478000000000001</v>
      </c>
      <c r="Z4" s="58">
        <f t="shared" ref="Z4:Z10" si="6">MAX(Q4:X4)</f>
        <v>-2.0476000000000001</v>
      </c>
      <c r="AA4" s="58">
        <f>MODE(Q4:X4)</f>
        <v>-2.0478000000000001</v>
      </c>
      <c r="AB4" s="58">
        <f t="shared" ref="AB4:AB11" si="7">Y4-AA4</f>
        <v>0</v>
      </c>
      <c r="AC4" s="58">
        <f t="shared" ref="AC4:AC11" si="8">Z4-AA4</f>
        <v>1.9999999999997797E-4</v>
      </c>
    </row>
    <row r="5" spans="1:29" ht="15" customHeight="1">
      <c r="A5" s="58">
        <v>19.75</v>
      </c>
      <c r="K5" s="58">
        <f t="shared" si="0"/>
        <v>0</v>
      </c>
      <c r="L5" s="58">
        <f t="shared" si="1"/>
        <v>0</v>
      </c>
      <c r="M5" s="58" t="e">
        <f t="shared" ref="M5:M10" si="9">MODE(C5:J5)</f>
        <v>#N/A</v>
      </c>
      <c r="N5" s="58" t="e">
        <f t="shared" si="2"/>
        <v>#N/A</v>
      </c>
      <c r="O5" s="58" t="e">
        <f t="shared" si="3"/>
        <v>#N/A</v>
      </c>
      <c r="Q5" s="58">
        <f t="shared" si="4"/>
        <v>-2.0478000000000001</v>
      </c>
      <c r="R5" s="58">
        <f t="shared" si="4"/>
        <v>-2.0478000000000001</v>
      </c>
      <c r="S5" s="58">
        <f t="shared" si="4"/>
        <v>-2.04765</v>
      </c>
      <c r="T5" s="58">
        <f t="shared" si="4"/>
        <v>-2.0478000000000001</v>
      </c>
      <c r="U5" s="58">
        <f t="shared" si="4"/>
        <v>-2.0478000000000001</v>
      </c>
      <c r="V5" s="58">
        <f t="shared" si="4"/>
        <v>-2.0476999999999999</v>
      </c>
      <c r="W5" s="58">
        <f t="shared" si="4"/>
        <v>-2.0478000000000001</v>
      </c>
      <c r="X5" s="58">
        <f t="shared" si="4"/>
        <v>-2.0476000000000001</v>
      </c>
      <c r="Y5" s="58">
        <f t="shared" si="5"/>
        <v>-2.0478000000000001</v>
      </c>
      <c r="Z5" s="58">
        <f t="shared" si="6"/>
        <v>-2.0476000000000001</v>
      </c>
      <c r="AA5" s="58">
        <f t="shared" ref="AA5:AA9" si="10">MODE(Q5:X5)</f>
        <v>-2.0478000000000001</v>
      </c>
      <c r="AB5" s="58">
        <f t="shared" si="7"/>
        <v>0</v>
      </c>
      <c r="AC5" s="58">
        <f t="shared" si="8"/>
        <v>1.9999999999997797E-4</v>
      </c>
    </row>
    <row r="6" spans="1:29" ht="15" customHeight="1">
      <c r="A6" s="58">
        <v>45</v>
      </c>
      <c r="K6" s="58">
        <f t="shared" si="0"/>
        <v>0</v>
      </c>
      <c r="L6" s="58">
        <f t="shared" si="1"/>
        <v>0</v>
      </c>
      <c r="M6" s="58" t="e">
        <f t="shared" si="9"/>
        <v>#N/A</v>
      </c>
      <c r="N6" s="58" t="e">
        <f t="shared" si="2"/>
        <v>#N/A</v>
      </c>
      <c r="O6" s="58" t="e">
        <f t="shared" si="3"/>
        <v>#N/A</v>
      </c>
      <c r="Q6" s="58">
        <f t="shared" si="4"/>
        <v>-2.0478000000000001</v>
      </c>
      <c r="R6" s="58">
        <f t="shared" si="4"/>
        <v>-2.0478000000000001</v>
      </c>
      <c r="S6" s="58">
        <f t="shared" si="4"/>
        <v>-2.04765</v>
      </c>
      <c r="T6" s="58">
        <f t="shared" si="4"/>
        <v>-2.0478000000000001</v>
      </c>
      <c r="U6" s="58">
        <f t="shared" si="4"/>
        <v>-2.0478000000000001</v>
      </c>
      <c r="V6" s="58">
        <f t="shared" si="4"/>
        <v>-2.0476999999999999</v>
      </c>
      <c r="W6" s="58">
        <f t="shared" si="4"/>
        <v>-2.0478000000000001</v>
      </c>
      <c r="X6" s="58">
        <f t="shared" si="4"/>
        <v>-2.0476000000000001</v>
      </c>
      <c r="Y6" s="58">
        <f t="shared" si="5"/>
        <v>-2.0478000000000001</v>
      </c>
      <c r="Z6" s="58">
        <f t="shared" si="6"/>
        <v>-2.0476000000000001</v>
      </c>
      <c r="AA6" s="58">
        <f t="shared" si="10"/>
        <v>-2.0478000000000001</v>
      </c>
      <c r="AB6" s="58">
        <f t="shared" si="7"/>
        <v>0</v>
      </c>
      <c r="AC6" s="58">
        <f t="shared" si="8"/>
        <v>1.9999999999997797E-4</v>
      </c>
    </row>
    <row r="7" spans="1:29" ht="15" customHeight="1">
      <c r="A7" s="58">
        <v>90</v>
      </c>
      <c r="C7" s="58">
        <v>2.0478000000000001</v>
      </c>
      <c r="D7" s="58">
        <v>2.0478000000000001</v>
      </c>
      <c r="E7" s="58">
        <v>2.04765</v>
      </c>
      <c r="F7" s="58">
        <v>2.0478000000000001</v>
      </c>
      <c r="G7" s="58">
        <v>2.0478000000000001</v>
      </c>
      <c r="H7" s="58">
        <v>2.0476999999999999</v>
      </c>
      <c r="I7" s="58">
        <v>2.0478000000000001</v>
      </c>
      <c r="J7" s="58">
        <v>2.0476000000000001</v>
      </c>
      <c r="K7" s="58">
        <f t="shared" si="0"/>
        <v>2.0476000000000001</v>
      </c>
      <c r="L7" s="58">
        <f t="shared" si="1"/>
        <v>2.0478000000000001</v>
      </c>
      <c r="M7" s="58">
        <f t="shared" si="9"/>
        <v>2.0478000000000001</v>
      </c>
      <c r="N7" s="58">
        <f t="shared" si="2"/>
        <v>-1.9999999999997797E-4</v>
      </c>
      <c r="O7" s="58">
        <f t="shared" si="3"/>
        <v>0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K8" s="58">
        <f t="shared" si="0"/>
        <v>0</v>
      </c>
      <c r="L8" s="58">
        <f t="shared" si="1"/>
        <v>0</v>
      </c>
      <c r="M8" s="58" t="e">
        <f t="shared" si="9"/>
        <v>#N/A</v>
      </c>
      <c r="N8" s="58" t="e">
        <f t="shared" si="2"/>
        <v>#N/A</v>
      </c>
      <c r="O8" s="58" t="e">
        <f t="shared" si="3"/>
        <v>#N/A</v>
      </c>
      <c r="Q8" s="58">
        <f t="shared" si="4"/>
        <v>-2.0478000000000001</v>
      </c>
      <c r="R8" s="58">
        <f t="shared" si="4"/>
        <v>-2.0478000000000001</v>
      </c>
      <c r="S8" s="58">
        <f t="shared" si="4"/>
        <v>-2.04765</v>
      </c>
      <c r="T8" s="58">
        <f t="shared" si="4"/>
        <v>-2.0478000000000001</v>
      </c>
      <c r="U8" s="58">
        <f t="shared" si="4"/>
        <v>-2.0478000000000001</v>
      </c>
      <c r="V8" s="58">
        <f t="shared" si="4"/>
        <v>-2.0476999999999999</v>
      </c>
      <c r="W8" s="58">
        <f t="shared" si="4"/>
        <v>-2.0478000000000001</v>
      </c>
      <c r="X8" s="58">
        <f t="shared" si="4"/>
        <v>-2.0476000000000001</v>
      </c>
      <c r="Y8" s="58">
        <f t="shared" si="5"/>
        <v>-2.0478000000000001</v>
      </c>
      <c r="Z8" s="58">
        <f t="shared" si="6"/>
        <v>-2.0476000000000001</v>
      </c>
      <c r="AA8" s="58">
        <f t="shared" si="10"/>
        <v>-2.0478000000000001</v>
      </c>
      <c r="AB8" s="58">
        <f t="shared" si="7"/>
        <v>0</v>
      </c>
      <c r="AC8" s="58">
        <f t="shared" si="8"/>
        <v>1.9999999999997797E-4</v>
      </c>
    </row>
    <row r="9" spans="1:29" ht="15" customHeight="1">
      <c r="A9" s="58">
        <v>160.25</v>
      </c>
      <c r="K9" s="58">
        <f t="shared" si="0"/>
        <v>0</v>
      </c>
      <c r="L9" s="58">
        <f t="shared" si="1"/>
        <v>0</v>
      </c>
      <c r="M9" s="58" t="e">
        <f t="shared" si="9"/>
        <v>#N/A</v>
      </c>
      <c r="N9" s="58" t="e">
        <f t="shared" si="2"/>
        <v>#N/A</v>
      </c>
      <c r="O9" s="58" t="e">
        <f t="shared" si="3"/>
        <v>#N/A</v>
      </c>
      <c r="Q9" s="58">
        <f t="shared" si="4"/>
        <v>-2.0478000000000001</v>
      </c>
      <c r="R9" s="58">
        <f t="shared" si="4"/>
        <v>-2.0478000000000001</v>
      </c>
      <c r="S9" s="58">
        <f t="shared" si="4"/>
        <v>-2.04765</v>
      </c>
      <c r="T9" s="58">
        <f t="shared" si="4"/>
        <v>-2.0478000000000001</v>
      </c>
      <c r="U9" s="58">
        <f t="shared" si="4"/>
        <v>-2.0478000000000001</v>
      </c>
      <c r="V9" s="58">
        <f t="shared" si="4"/>
        <v>-2.0476999999999999</v>
      </c>
      <c r="W9" s="58">
        <f t="shared" si="4"/>
        <v>-2.0478000000000001</v>
      </c>
      <c r="X9" s="58">
        <f t="shared" si="4"/>
        <v>-2.0476000000000001</v>
      </c>
      <c r="Y9" s="58">
        <f t="shared" si="5"/>
        <v>-2.0478000000000001</v>
      </c>
      <c r="Z9" s="58">
        <f t="shared" si="6"/>
        <v>-2.0476000000000001</v>
      </c>
      <c r="AA9" s="58">
        <f t="shared" si="10"/>
        <v>-2.0478000000000001</v>
      </c>
      <c r="AB9" s="58">
        <f t="shared" si="7"/>
        <v>0</v>
      </c>
      <c r="AC9" s="58">
        <f t="shared" si="8"/>
        <v>1.9999999999997797E-4</v>
      </c>
    </row>
    <row r="10" spans="1:29" ht="15" customHeight="1">
      <c r="A10" s="58">
        <v>175</v>
      </c>
      <c r="K10" s="58">
        <f t="shared" si="0"/>
        <v>0</v>
      </c>
      <c r="L10" s="58">
        <f t="shared" si="1"/>
        <v>0</v>
      </c>
      <c r="M10" s="58" t="e">
        <f t="shared" si="9"/>
        <v>#N/A</v>
      </c>
      <c r="N10" s="58" t="e">
        <f t="shared" si="2"/>
        <v>#N/A</v>
      </c>
      <c r="O10" s="58" t="e">
        <f t="shared" si="3"/>
        <v>#N/A</v>
      </c>
      <c r="Q10" s="58">
        <f t="shared" si="4"/>
        <v>-2.0478000000000001</v>
      </c>
      <c r="R10" s="58">
        <f t="shared" si="4"/>
        <v>-2.0478000000000001</v>
      </c>
      <c r="S10" s="58">
        <f t="shared" si="4"/>
        <v>-2.04765</v>
      </c>
      <c r="T10" s="58">
        <f t="shared" si="4"/>
        <v>-2.0478000000000001</v>
      </c>
      <c r="U10" s="58">
        <f t="shared" si="4"/>
        <v>-2.0478000000000001</v>
      </c>
      <c r="V10" s="58">
        <f t="shared" si="4"/>
        <v>-2.0476999999999999</v>
      </c>
      <c r="W10" s="58">
        <f t="shared" si="4"/>
        <v>-2.0478000000000001</v>
      </c>
      <c r="X10" s="58">
        <f t="shared" si="4"/>
        <v>-2.0476000000000001</v>
      </c>
      <c r="Y10" s="58">
        <f t="shared" si="5"/>
        <v>-2.0478000000000001</v>
      </c>
      <c r="Z10" s="58">
        <f t="shared" si="6"/>
        <v>-2.0476000000000001</v>
      </c>
      <c r="AA10" s="58">
        <f>AVERAGE(Q10:X10)</f>
        <v>-2.0477437500000004</v>
      </c>
      <c r="AB10" s="58">
        <f t="shared" si="7"/>
        <v>-5.624999999964686E-5</v>
      </c>
      <c r="AC10" s="58">
        <f t="shared" si="8"/>
        <v>1.4375000000033111E-4</v>
      </c>
    </row>
    <row r="11" spans="1:29" ht="15" customHeight="1">
      <c r="A11" s="58" t="s">
        <v>269</v>
      </c>
      <c r="B11" s="9" t="s">
        <v>235</v>
      </c>
      <c r="C11" s="58">
        <v>7.8700000000000006E-2</v>
      </c>
      <c r="D11" s="58">
        <v>7.8750000000000001E-2</v>
      </c>
      <c r="E11" s="58">
        <v>7.8850000000000003E-2</v>
      </c>
      <c r="F11" s="58">
        <v>7.8750000000000001E-2</v>
      </c>
      <c r="G11" s="58">
        <v>7.8700000000000006E-2</v>
      </c>
      <c r="H11" s="58">
        <v>7.8750000000000001E-2</v>
      </c>
      <c r="I11" s="58">
        <v>7.8850000000000003E-2</v>
      </c>
      <c r="J11" s="58">
        <v>7.8850000000000003E-2</v>
      </c>
      <c r="K11" s="58">
        <f t="shared" si="0"/>
        <v>7.8700000000000006E-2</v>
      </c>
      <c r="L11" s="58">
        <f t="shared" si="1"/>
        <v>7.8850000000000003E-2</v>
      </c>
      <c r="M11" s="58">
        <f>ROUND(AVERAGE(C11:J11),4)</f>
        <v>7.8799999999999995E-2</v>
      </c>
      <c r="N11" s="58">
        <f t="shared" si="2"/>
        <v>-9.9999999999988987E-5</v>
      </c>
      <c r="O11" s="58">
        <f t="shared" si="3"/>
        <v>5.0000000000008371E-5</v>
      </c>
      <c r="Y11" s="58">
        <f>MIN(Q5:X5,Q9:X9)</f>
        <v>-2.0478000000000001</v>
      </c>
      <c r="Z11" s="58">
        <f>MAX(Q5:X5,Q9:X9)</f>
        <v>-2.0476000000000001</v>
      </c>
      <c r="AA11" s="58">
        <f>MODE(Q5:X5,Q9:X9)</f>
        <v>-2.0478000000000001</v>
      </c>
      <c r="AB11" s="58">
        <f t="shared" si="7"/>
        <v>0</v>
      </c>
      <c r="AC11" s="58">
        <f t="shared" si="8"/>
        <v>1.9999999999997797E-4</v>
      </c>
    </row>
    <row r="12" spans="1:29" ht="15" customHeight="1">
      <c r="A12" s="58" t="s">
        <v>269</v>
      </c>
      <c r="B12" s="9" t="s">
        <v>236</v>
      </c>
      <c r="C12" s="58">
        <v>7.85E-2</v>
      </c>
      <c r="D12" s="58">
        <v>7.8600000000000003E-2</v>
      </c>
      <c r="E12" s="58">
        <v>7.8549999999999995E-2</v>
      </c>
      <c r="F12" s="58">
        <v>7.85E-2</v>
      </c>
      <c r="G12" s="58">
        <v>7.8600000000000003E-2</v>
      </c>
      <c r="H12" s="58">
        <v>7.8600000000000003E-2</v>
      </c>
      <c r="I12" s="58">
        <v>7.85E-2</v>
      </c>
      <c r="J12" s="58">
        <v>7.8549999999999995E-2</v>
      </c>
      <c r="K12" s="58">
        <f t="shared" si="0"/>
        <v>7.85E-2</v>
      </c>
      <c r="L12" s="58">
        <f t="shared" si="1"/>
        <v>7.8600000000000003E-2</v>
      </c>
      <c r="M12" s="58">
        <f>ROUND(AVERAGE(C12:J12),4)</f>
        <v>7.8600000000000003E-2</v>
      </c>
      <c r="N12" s="58">
        <f t="shared" si="2"/>
        <v>-1.0000000000000286E-4</v>
      </c>
      <c r="O12" s="58">
        <f t="shared" si="3"/>
        <v>0</v>
      </c>
    </row>
    <row r="13" spans="1:29" ht="15" customHeight="1">
      <c r="A13" s="58" t="s">
        <v>243</v>
      </c>
      <c r="C13" s="58">
        <f>C7-'Rod Journals'!$O$2</f>
        <v>1.3000000000000789E-3</v>
      </c>
      <c r="D13" s="58">
        <f>D7-'Rod Journals'!$O$2</f>
        <v>1.3000000000000789E-3</v>
      </c>
      <c r="E13" s="58">
        <f>E7-'Rod Journals'!$O$2</f>
        <v>1.1499999999999844E-3</v>
      </c>
      <c r="F13" s="58">
        <f>F7-'Rod Journals'!$O$2</f>
        <v>1.3000000000000789E-3</v>
      </c>
      <c r="G13" s="58">
        <f>G7-'Rod Journals'!$O$2</f>
        <v>1.3000000000000789E-3</v>
      </c>
      <c r="H13" s="58">
        <f>H7-'Rod Journals'!$O$2</f>
        <v>1.1999999999998678E-3</v>
      </c>
      <c r="I13" s="58">
        <f>I7-'Rod Journals'!$O$2</f>
        <v>1.3000000000000789E-3</v>
      </c>
      <c r="J13" s="58">
        <f>J7-'Rod Journals'!$O$2</f>
        <v>1.1000000000001009E-3</v>
      </c>
      <c r="K13" s="58">
        <f t="shared" si="0"/>
        <v>1.1000000000001009E-3</v>
      </c>
      <c r="L13" s="58">
        <f t="shared" si="1"/>
        <v>1.3000000000000789E-3</v>
      </c>
      <c r="M13" s="58">
        <f>MODE(C13:J13)</f>
        <v>1.3000000000000789E-3</v>
      </c>
      <c r="N13" s="58">
        <f>MIN(C14:J14)-M13</f>
        <v>-5.0000000000016698E-4</v>
      </c>
      <c r="O13" s="58">
        <f>MAX(C15:J15)-M13</f>
        <v>9.9999999999766942E-5</v>
      </c>
    </row>
    <row r="14" spans="1:29" ht="15" customHeight="1">
      <c r="A14" s="58" t="s">
        <v>244</v>
      </c>
      <c r="C14" s="58">
        <f>C7-'Rod Journals'!$N$2</f>
        <v>9.9999999999988987E-4</v>
      </c>
      <c r="D14" s="58">
        <f>D7-'Rod Journals'!$N$2</f>
        <v>9.9999999999988987E-4</v>
      </c>
      <c r="E14" s="58">
        <f>E7-'Rod Journals'!$N$2</f>
        <v>8.4999999999979536E-4</v>
      </c>
      <c r="F14" s="58">
        <f>F7-'Rod Journals'!$N$2</f>
        <v>9.9999999999988987E-4</v>
      </c>
      <c r="G14" s="58">
        <f>G7-'Rod Journals'!$N$2</f>
        <v>9.9999999999988987E-4</v>
      </c>
      <c r="H14" s="58">
        <f>H7-'Rod Journals'!$N$2</f>
        <v>8.9999999999967883E-4</v>
      </c>
      <c r="I14" s="58">
        <f>I7-'Rod Journals'!$N$2</f>
        <v>9.9999999999988987E-4</v>
      </c>
      <c r="J14" s="58">
        <f>J7-'Rod Journals'!$N$2</f>
        <v>7.9999999999991189E-4</v>
      </c>
      <c r="K14" s="58">
        <f t="shared" si="0"/>
        <v>7.9999999999991189E-4</v>
      </c>
    </row>
    <row r="15" spans="1:29" ht="15" customHeight="1">
      <c r="A15" s="58" t="s">
        <v>245</v>
      </c>
      <c r="C15" s="58">
        <f>C7-'Rod Journals'!$M$2</f>
        <v>1.3999999999998458E-3</v>
      </c>
      <c r="D15" s="58">
        <f>D7-'Rod Journals'!$M$2</f>
        <v>1.3999999999998458E-3</v>
      </c>
      <c r="E15" s="58">
        <f>E7-'Rod Journals'!$M$2</f>
        <v>1.2499999999997513E-3</v>
      </c>
      <c r="F15" s="58">
        <f>F7-'Rod Journals'!$M$2</f>
        <v>1.3999999999998458E-3</v>
      </c>
      <c r="G15" s="58">
        <f>G7-'Rod Journals'!$M$2</f>
        <v>1.3999999999998458E-3</v>
      </c>
      <c r="H15" s="58">
        <f>H7-'Rod Journals'!$M$2</f>
        <v>1.2999999999996348E-3</v>
      </c>
      <c r="I15" s="58">
        <f>I7-'Rod Journals'!$M$2</f>
        <v>1.3999999999998458E-3</v>
      </c>
      <c r="J15" s="58">
        <f>J7-'Rod Journals'!$M$2</f>
        <v>1.1999999999998678E-3</v>
      </c>
      <c r="L15" s="58">
        <f>MAX(C15:J15)</f>
        <v>1.3999999999998458E-3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7.9999999999991189E-4</v>
      </c>
      <c r="L16" s="58">
        <f>L15</f>
        <v>1.3999999999998458E-3</v>
      </c>
      <c r="M16" s="58">
        <f>M13</f>
        <v>1.3000000000000789E-3</v>
      </c>
      <c r="N16" s="58">
        <f>K16-M16</f>
        <v>-5.0000000000016698E-4</v>
      </c>
      <c r="O16" s="58">
        <f>L16-M16</f>
        <v>9.9999999999766942E-5</v>
      </c>
    </row>
  </sheetData>
  <mergeCells count="1">
    <mergeCell ref="Q2:X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32"/>
  <sheetViews>
    <sheetView workbookViewId="0">
      <selection activeCell="AA9" sqref="AA9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37" ht="15" customHeight="1">
      <c r="A1" s="58" t="s">
        <v>239</v>
      </c>
      <c r="B1" s="9" t="s">
        <v>283</v>
      </c>
      <c r="C1" s="80" t="s">
        <v>175</v>
      </c>
      <c r="D1" s="80" t="s">
        <v>176</v>
      </c>
      <c r="E1" s="80" t="s">
        <v>177</v>
      </c>
      <c r="F1" s="80" t="s">
        <v>178</v>
      </c>
      <c r="G1" s="80" t="s">
        <v>179</v>
      </c>
      <c r="H1" s="80" t="s">
        <v>180</v>
      </c>
      <c r="I1" s="80" t="s">
        <v>181</v>
      </c>
      <c r="J1" s="80" t="s">
        <v>182</v>
      </c>
      <c r="K1" s="80" t="s">
        <v>195</v>
      </c>
      <c r="L1" s="80" t="s">
        <v>183</v>
      </c>
      <c r="M1" s="80" t="s">
        <v>184</v>
      </c>
      <c r="N1" s="80" t="s">
        <v>185</v>
      </c>
      <c r="O1" s="80" t="s">
        <v>186</v>
      </c>
    </row>
    <row r="2" spans="1:37" ht="15" customHeight="1">
      <c r="B2" s="9" t="s">
        <v>241</v>
      </c>
      <c r="C2" s="58">
        <v>76.3</v>
      </c>
      <c r="D2" s="58">
        <v>76.3</v>
      </c>
      <c r="E2" s="58">
        <v>76.2</v>
      </c>
      <c r="F2" s="58">
        <v>76.3</v>
      </c>
      <c r="G2" s="58">
        <v>76.5</v>
      </c>
      <c r="H2" s="58">
        <v>76.5</v>
      </c>
      <c r="I2" s="58">
        <v>76.5</v>
      </c>
      <c r="J2" s="58">
        <v>76.599999999999994</v>
      </c>
      <c r="Q2" s="101" t="s">
        <v>270</v>
      </c>
      <c r="R2" s="101"/>
      <c r="S2" s="101"/>
      <c r="T2" s="101"/>
      <c r="U2" s="101"/>
      <c r="V2" s="101"/>
      <c r="W2" s="101"/>
      <c r="X2" s="101"/>
    </row>
    <row r="3" spans="1:37" ht="15" customHeight="1">
      <c r="B3" s="9" t="s">
        <v>242</v>
      </c>
      <c r="C3" s="58">
        <v>76.599999999999994</v>
      </c>
      <c r="D3" s="58">
        <v>76.2</v>
      </c>
      <c r="E3" s="58">
        <v>76.099999999999994</v>
      </c>
      <c r="F3" s="58">
        <v>76.400000000000006</v>
      </c>
      <c r="G3" s="58">
        <v>76.599999999999994</v>
      </c>
      <c r="H3" s="58">
        <v>76.2</v>
      </c>
      <c r="I3" s="58">
        <v>76.400000000000006</v>
      </c>
      <c r="J3" s="58">
        <v>76.8</v>
      </c>
      <c r="P3" s="9" t="s">
        <v>242</v>
      </c>
      <c r="Q3" s="78" t="s">
        <v>175</v>
      </c>
      <c r="R3" s="78" t="s">
        <v>176</v>
      </c>
      <c r="S3" s="78" t="s">
        <v>177</v>
      </c>
      <c r="T3" s="78" t="s">
        <v>178</v>
      </c>
      <c r="U3" s="78" t="s">
        <v>179</v>
      </c>
      <c r="V3" s="78" t="s">
        <v>180</v>
      </c>
      <c r="W3" s="78" t="s">
        <v>181</v>
      </c>
      <c r="X3" s="7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  <c r="AD3" s="88" t="s">
        <v>175</v>
      </c>
      <c r="AE3" s="88" t="s">
        <v>176</v>
      </c>
      <c r="AF3" s="88" t="s">
        <v>177</v>
      </c>
      <c r="AG3" s="88" t="s">
        <v>178</v>
      </c>
      <c r="AH3" s="88" t="s">
        <v>179</v>
      </c>
      <c r="AI3" s="88" t="s">
        <v>180</v>
      </c>
      <c r="AJ3" s="88" t="s">
        <v>181</v>
      </c>
      <c r="AK3" s="88" t="s">
        <v>182</v>
      </c>
    </row>
    <row r="4" spans="1:37" ht="15" customHeight="1">
      <c r="A4" s="58">
        <v>5</v>
      </c>
      <c r="B4" s="84">
        <v>5</v>
      </c>
      <c r="C4" s="58">
        <v>2.0516000000000001</v>
      </c>
      <c r="D4" s="58">
        <v>2.0511499999999998</v>
      </c>
      <c r="E4" s="58">
        <v>2.0508000000000002</v>
      </c>
      <c r="F4" s="58">
        <v>2.0510000000000002</v>
      </c>
      <c r="G4" s="58">
        <v>2.0510000000000002</v>
      </c>
      <c r="H4" s="58">
        <v>2.0508000000000002</v>
      </c>
      <c r="I4" s="58">
        <v>2.0512000000000001</v>
      </c>
      <c r="J4" s="58">
        <v>2.0510000000000002</v>
      </c>
      <c r="K4" s="58">
        <f t="shared" ref="K4:K13" si="0">MIN(C4:J4)</f>
        <v>2.0508000000000002</v>
      </c>
      <c r="L4" s="58">
        <f t="shared" ref="L4:L13" si="1">MAX(C4:J4)</f>
        <v>2.0516000000000001</v>
      </c>
      <c r="M4" s="58">
        <f>MODE(C4:J4)</f>
        <v>2.0510000000000002</v>
      </c>
      <c r="N4" s="58">
        <f t="shared" ref="N4:N11" si="2">K4-M4</f>
        <v>-1.9999999999997797E-4</v>
      </c>
      <c r="O4" s="58">
        <f t="shared" ref="O4:O11" si="3">L4-M4</f>
        <v>5.9999999999993392E-4</v>
      </c>
      <c r="P4" s="84">
        <v>5</v>
      </c>
      <c r="Q4" s="58">
        <f t="shared" ref="Q4:X10" si="4">C4-C$7</f>
        <v>3.0000000000001137E-3</v>
      </c>
      <c r="R4" s="58">
        <f t="shared" si="4"/>
        <v>2.7499999999998082E-3</v>
      </c>
      <c r="S4" s="58">
        <f t="shared" si="4"/>
        <v>2.4000000000001798E-3</v>
      </c>
      <c r="T4" s="58">
        <f t="shared" si="4"/>
        <v>2.4000000000001798E-3</v>
      </c>
      <c r="U4" s="58">
        <f t="shared" si="4"/>
        <v>2.4000000000001798E-3</v>
      </c>
      <c r="V4" s="58">
        <f t="shared" si="4"/>
        <v>2.4000000000001798E-3</v>
      </c>
      <c r="W4" s="58">
        <f t="shared" si="4"/>
        <v>2.6000000000001577E-3</v>
      </c>
      <c r="X4" s="58">
        <f t="shared" si="4"/>
        <v>2.4000000000001798E-3</v>
      </c>
      <c r="Y4" s="58">
        <f t="shared" ref="Y4:Y10" si="5">MIN(Q4:X4)</f>
        <v>2.4000000000001798E-3</v>
      </c>
      <c r="Z4" s="58">
        <f t="shared" ref="Z4:Z10" si="6">MAX(Q4:X4)</f>
        <v>3.0000000000001137E-3</v>
      </c>
      <c r="AA4" s="58">
        <f>MODE(Q4:X4)</f>
        <v>2.4000000000001798E-3</v>
      </c>
      <c r="AB4" s="58">
        <f t="shared" ref="AB4:AB11" si="7">Y4-AA4</f>
        <v>0</v>
      </c>
      <c r="AC4" s="58">
        <f t="shared" ref="AC4:AC11" si="8">Z4-AA4</f>
        <v>5.9999999999993392E-4</v>
      </c>
      <c r="AD4" s="95">
        <v>5</v>
      </c>
      <c r="AE4" s="95">
        <v>5</v>
      </c>
      <c r="AF4" s="95">
        <v>5</v>
      </c>
      <c r="AG4" s="95">
        <v>5</v>
      </c>
      <c r="AH4" s="95">
        <v>5</v>
      </c>
      <c r="AI4" s="95">
        <v>5</v>
      </c>
      <c r="AJ4" s="95">
        <v>5</v>
      </c>
      <c r="AK4" s="95">
        <v>5</v>
      </c>
    </row>
    <row r="5" spans="1:37" ht="15" customHeight="1">
      <c r="A5" s="58">
        <v>19.75</v>
      </c>
      <c r="B5" s="84">
        <v>19.75</v>
      </c>
      <c r="C5" s="58">
        <v>2.0491999999999999</v>
      </c>
      <c r="D5" s="58">
        <v>2.0492499999999998</v>
      </c>
      <c r="E5" s="58">
        <v>2.0492499999999998</v>
      </c>
      <c r="F5" s="58">
        <v>2.0495000000000001</v>
      </c>
      <c r="G5" s="58">
        <v>2.0493999999999999</v>
      </c>
      <c r="H5" s="58">
        <v>2.0493999999999999</v>
      </c>
      <c r="I5" s="58">
        <v>2.0494500000000002</v>
      </c>
      <c r="J5" s="58">
        <v>2.0492499999999998</v>
      </c>
      <c r="K5" s="58">
        <f t="shared" si="0"/>
        <v>2.0491999999999999</v>
      </c>
      <c r="L5" s="58">
        <f t="shared" si="1"/>
        <v>2.0495000000000001</v>
      </c>
      <c r="M5" s="58">
        <f t="shared" ref="M5:M10" si="9">MODE(C5:J5)</f>
        <v>2.0492499999999998</v>
      </c>
      <c r="N5" s="58">
        <f t="shared" si="2"/>
        <v>-4.9999999999883471E-5</v>
      </c>
      <c r="O5" s="58">
        <f t="shared" si="3"/>
        <v>2.5000000000030553E-4</v>
      </c>
      <c r="P5" s="84">
        <v>19.75</v>
      </c>
      <c r="Q5" s="58">
        <f t="shared" si="4"/>
        <v>5.9999999999993392E-4</v>
      </c>
      <c r="R5" s="58">
        <f t="shared" si="4"/>
        <v>8.4999999999979536E-4</v>
      </c>
      <c r="S5" s="58">
        <f t="shared" si="4"/>
        <v>8.4999999999979536E-4</v>
      </c>
      <c r="T5" s="58">
        <f t="shared" si="4"/>
        <v>9.0000000000012292E-4</v>
      </c>
      <c r="U5" s="58">
        <f t="shared" si="4"/>
        <v>7.9999999999991189E-4</v>
      </c>
      <c r="V5" s="58">
        <f t="shared" si="4"/>
        <v>9.9999999999988987E-4</v>
      </c>
      <c r="W5" s="58">
        <f t="shared" si="4"/>
        <v>8.5000000000023945E-4</v>
      </c>
      <c r="X5" s="58">
        <f t="shared" si="4"/>
        <v>6.4999999999981739E-4</v>
      </c>
      <c r="Y5" s="58">
        <f t="shared" si="5"/>
        <v>5.9999999999993392E-4</v>
      </c>
      <c r="Z5" s="58">
        <f t="shared" si="6"/>
        <v>9.9999999999988987E-4</v>
      </c>
      <c r="AA5" s="58">
        <f t="shared" ref="AA5:AA9" si="10">MODE(Q5:X5)</f>
        <v>8.4999999999979536E-4</v>
      </c>
      <c r="AB5" s="58">
        <f t="shared" si="7"/>
        <v>-2.4999999999986144E-4</v>
      </c>
      <c r="AC5" s="58">
        <f t="shared" si="8"/>
        <v>1.500000000000945E-4</v>
      </c>
      <c r="AD5" s="95">
        <v>19.75</v>
      </c>
      <c r="AE5" s="95">
        <v>19.75</v>
      </c>
      <c r="AF5" s="95">
        <v>19.75</v>
      </c>
      <c r="AG5" s="95">
        <v>19.75</v>
      </c>
      <c r="AH5" s="95">
        <v>19.75</v>
      </c>
      <c r="AI5" s="95">
        <v>19.75</v>
      </c>
      <c r="AJ5" s="95">
        <v>19.75</v>
      </c>
      <c r="AK5" s="95">
        <v>19.75</v>
      </c>
    </row>
    <row r="6" spans="1:37" ht="15" customHeight="1">
      <c r="A6" s="58">
        <v>45</v>
      </c>
      <c r="B6" s="84">
        <v>45</v>
      </c>
      <c r="C6" s="58">
        <v>2.0486</v>
      </c>
      <c r="D6" s="58">
        <v>2.0486</v>
      </c>
      <c r="E6" s="58">
        <v>2.0486</v>
      </c>
      <c r="F6" s="58">
        <v>2.0487500000000001</v>
      </c>
      <c r="G6" s="58">
        <v>2.0487500000000001</v>
      </c>
      <c r="H6" s="58">
        <v>2.0488</v>
      </c>
      <c r="I6" s="58">
        <v>2.0488</v>
      </c>
      <c r="J6" s="58">
        <v>2.0486</v>
      </c>
      <c r="K6" s="58">
        <f t="shared" si="0"/>
        <v>2.0486</v>
      </c>
      <c r="L6" s="58">
        <f t="shared" si="1"/>
        <v>2.0488</v>
      </c>
      <c r="M6" s="58">
        <f t="shared" si="9"/>
        <v>2.0486</v>
      </c>
      <c r="N6" s="58">
        <f t="shared" si="2"/>
        <v>0</v>
      </c>
      <c r="O6" s="58">
        <f t="shared" si="3"/>
        <v>1.9999999999997797E-4</v>
      </c>
      <c r="P6" s="84">
        <v>45</v>
      </c>
      <c r="Q6" s="58">
        <f t="shared" si="4"/>
        <v>0</v>
      </c>
      <c r="R6" s="58">
        <f t="shared" si="4"/>
        <v>1.9999999999997797E-4</v>
      </c>
      <c r="S6" s="58">
        <f t="shared" si="4"/>
        <v>1.9999999999997797E-4</v>
      </c>
      <c r="T6" s="58">
        <f t="shared" si="4"/>
        <v>1.500000000000945E-4</v>
      </c>
      <c r="U6" s="58">
        <f t="shared" si="4"/>
        <v>1.500000000000945E-4</v>
      </c>
      <c r="V6" s="58">
        <f t="shared" si="4"/>
        <v>3.9999999999995595E-4</v>
      </c>
      <c r="W6" s="58">
        <f t="shared" si="4"/>
        <v>1.9999999999997797E-4</v>
      </c>
      <c r="X6" s="58">
        <f t="shared" si="4"/>
        <v>0</v>
      </c>
      <c r="Y6" s="58">
        <f t="shared" si="5"/>
        <v>0</v>
      </c>
      <c r="Z6" s="58">
        <f t="shared" si="6"/>
        <v>3.9999999999995595E-4</v>
      </c>
      <c r="AA6" s="58">
        <f t="shared" si="10"/>
        <v>1.9999999999997797E-4</v>
      </c>
      <c r="AB6" s="58">
        <f t="shared" si="7"/>
        <v>-1.9999999999997797E-4</v>
      </c>
      <c r="AC6" s="58">
        <f t="shared" si="8"/>
        <v>1.9999999999997797E-4</v>
      </c>
      <c r="AD6" s="95">
        <v>45</v>
      </c>
      <c r="AE6" s="95">
        <v>45</v>
      </c>
      <c r="AF6" s="95">
        <v>45</v>
      </c>
      <c r="AG6" s="95">
        <v>45</v>
      </c>
      <c r="AH6" s="95">
        <v>45</v>
      </c>
      <c r="AI6" s="95">
        <v>45</v>
      </c>
      <c r="AJ6" s="95">
        <v>45</v>
      </c>
      <c r="AK6" s="95">
        <v>45</v>
      </c>
    </row>
    <row r="7" spans="1:37" ht="15" customHeight="1">
      <c r="A7" s="58">
        <v>90</v>
      </c>
      <c r="B7" s="84">
        <v>90</v>
      </c>
      <c r="C7" s="58">
        <v>2.0486</v>
      </c>
      <c r="D7" s="58">
        <v>2.0484</v>
      </c>
      <c r="E7" s="58">
        <v>2.0484</v>
      </c>
      <c r="F7" s="58">
        <v>2.0486</v>
      </c>
      <c r="G7" s="58">
        <v>2.0486</v>
      </c>
      <c r="H7" s="58">
        <v>2.0484</v>
      </c>
      <c r="I7" s="58">
        <v>2.0486</v>
      </c>
      <c r="J7" s="58">
        <v>2.0486</v>
      </c>
      <c r="K7" s="58">
        <f t="shared" si="0"/>
        <v>2.0484</v>
      </c>
      <c r="L7" s="58">
        <f t="shared" si="1"/>
        <v>2.0486</v>
      </c>
      <c r="M7" s="58">
        <f t="shared" si="9"/>
        <v>2.0486</v>
      </c>
      <c r="N7" s="58">
        <f t="shared" si="2"/>
        <v>-1.9999999999997797E-4</v>
      </c>
      <c r="O7" s="58">
        <f t="shared" si="3"/>
        <v>0</v>
      </c>
      <c r="P7" s="84">
        <v>90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  <c r="AD7" s="95">
        <v>90</v>
      </c>
      <c r="AE7" s="95">
        <v>90</v>
      </c>
      <c r="AF7" s="95">
        <v>90</v>
      </c>
      <c r="AG7" s="95">
        <v>90</v>
      </c>
      <c r="AH7" s="95">
        <v>90</v>
      </c>
      <c r="AI7" s="95">
        <v>90</v>
      </c>
      <c r="AJ7" s="95">
        <v>90</v>
      </c>
      <c r="AK7" s="95">
        <v>90</v>
      </c>
    </row>
    <row r="8" spans="1:37" ht="15" customHeight="1">
      <c r="A8" s="58">
        <v>135</v>
      </c>
      <c r="B8" s="84">
        <v>135</v>
      </c>
      <c r="C8" s="58">
        <v>2.0489999999999999</v>
      </c>
      <c r="D8" s="58">
        <v>2.0488</v>
      </c>
      <c r="E8" s="58">
        <v>2.0486499999999999</v>
      </c>
      <c r="F8" s="58">
        <v>2.0486499999999999</v>
      </c>
      <c r="G8" s="58">
        <v>2.0486499999999999</v>
      </c>
      <c r="H8" s="58">
        <v>2.0487500000000001</v>
      </c>
      <c r="I8" s="58">
        <v>2.0488499999999998</v>
      </c>
      <c r="J8" s="58">
        <v>2.0489000000000002</v>
      </c>
      <c r="K8" s="58">
        <f t="shared" si="0"/>
        <v>2.0486499999999999</v>
      </c>
      <c r="L8" s="58">
        <f t="shared" si="1"/>
        <v>2.0489999999999999</v>
      </c>
      <c r="M8" s="58">
        <f t="shared" si="9"/>
        <v>2.0486499999999999</v>
      </c>
      <c r="N8" s="58">
        <f t="shared" si="2"/>
        <v>0</v>
      </c>
      <c r="O8" s="58">
        <f t="shared" si="3"/>
        <v>3.5000000000007248E-4</v>
      </c>
      <c r="P8" s="84">
        <v>135</v>
      </c>
      <c r="Q8" s="58">
        <f t="shared" si="4"/>
        <v>3.9999999999995595E-4</v>
      </c>
      <c r="R8" s="58">
        <f t="shared" si="4"/>
        <v>3.9999999999995595E-4</v>
      </c>
      <c r="S8" s="58">
        <f t="shared" si="4"/>
        <v>2.4999999999986144E-4</v>
      </c>
      <c r="T8" s="58">
        <f t="shared" si="4"/>
        <v>4.9999999999883471E-5</v>
      </c>
      <c r="U8" s="58">
        <f t="shared" si="4"/>
        <v>4.9999999999883471E-5</v>
      </c>
      <c r="V8" s="58">
        <f t="shared" si="4"/>
        <v>3.5000000000007248E-4</v>
      </c>
      <c r="W8" s="58">
        <f t="shared" si="4"/>
        <v>2.4999999999986144E-4</v>
      </c>
      <c r="X8" s="58">
        <f t="shared" si="4"/>
        <v>3.00000000000189E-4</v>
      </c>
      <c r="Y8" s="58">
        <f t="shared" si="5"/>
        <v>4.9999999999883471E-5</v>
      </c>
      <c r="Z8" s="58">
        <f t="shared" si="6"/>
        <v>3.9999999999995595E-4</v>
      </c>
      <c r="AA8" s="58">
        <f t="shared" si="10"/>
        <v>3.9999999999995595E-4</v>
      </c>
      <c r="AB8" s="58">
        <f t="shared" si="7"/>
        <v>-3.5000000000007248E-4</v>
      </c>
      <c r="AC8" s="58">
        <f t="shared" si="8"/>
        <v>0</v>
      </c>
      <c r="AD8" s="95">
        <v>135</v>
      </c>
      <c r="AE8" s="95">
        <v>135</v>
      </c>
      <c r="AF8" s="95">
        <v>135</v>
      </c>
      <c r="AG8" s="95">
        <v>135</v>
      </c>
      <c r="AH8" s="95">
        <v>135</v>
      </c>
      <c r="AI8" s="95">
        <v>135</v>
      </c>
      <c r="AJ8" s="95">
        <v>135</v>
      </c>
      <c r="AK8" s="95">
        <v>135</v>
      </c>
    </row>
    <row r="9" spans="1:37" ht="15" customHeight="1">
      <c r="A9" s="58">
        <v>160.25</v>
      </c>
      <c r="B9" s="84">
        <v>160.25</v>
      </c>
      <c r="C9" s="58">
        <v>2.0490499999999998</v>
      </c>
      <c r="D9" s="58">
        <v>2.0493999999999999</v>
      </c>
      <c r="E9" s="58">
        <v>2.0491999999999999</v>
      </c>
      <c r="F9" s="58">
        <v>2.04955</v>
      </c>
      <c r="G9" s="58">
        <v>2.0491999999999999</v>
      </c>
      <c r="H9" s="58">
        <v>2.0493000000000001</v>
      </c>
      <c r="I9" s="58">
        <v>2.0493999999999999</v>
      </c>
      <c r="J9" s="58">
        <v>2.04955</v>
      </c>
      <c r="K9" s="58">
        <f t="shared" si="0"/>
        <v>2.0490499999999998</v>
      </c>
      <c r="L9" s="58">
        <f t="shared" si="1"/>
        <v>2.04955</v>
      </c>
      <c r="M9" s="58">
        <f t="shared" si="9"/>
        <v>2.0493999999999999</v>
      </c>
      <c r="N9" s="58">
        <f t="shared" si="2"/>
        <v>-3.5000000000007248E-4</v>
      </c>
      <c r="O9" s="58">
        <f t="shared" si="3"/>
        <v>1.500000000000945E-4</v>
      </c>
      <c r="P9" s="84">
        <v>160.25</v>
      </c>
      <c r="Q9" s="58">
        <f t="shared" si="4"/>
        <v>4.4999999999983942E-4</v>
      </c>
      <c r="R9" s="58">
        <f t="shared" si="4"/>
        <v>9.9999999999988987E-4</v>
      </c>
      <c r="S9" s="58">
        <f t="shared" si="4"/>
        <v>7.9999999999991189E-4</v>
      </c>
      <c r="T9" s="58">
        <f t="shared" si="4"/>
        <v>9.5000000000000639E-4</v>
      </c>
      <c r="U9" s="58">
        <f t="shared" si="4"/>
        <v>5.9999999999993392E-4</v>
      </c>
      <c r="V9" s="58">
        <f t="shared" si="4"/>
        <v>9.0000000000012292E-4</v>
      </c>
      <c r="W9" s="58">
        <f t="shared" si="4"/>
        <v>7.9999999999991189E-4</v>
      </c>
      <c r="X9" s="58">
        <f t="shared" si="4"/>
        <v>9.5000000000000639E-4</v>
      </c>
      <c r="Y9" s="58">
        <f t="shared" si="5"/>
        <v>4.4999999999983942E-4</v>
      </c>
      <c r="Z9" s="58">
        <f t="shared" si="6"/>
        <v>9.9999999999988987E-4</v>
      </c>
      <c r="AA9" s="58">
        <f t="shared" si="10"/>
        <v>7.9999999999991189E-4</v>
      </c>
      <c r="AB9" s="58">
        <f t="shared" si="7"/>
        <v>-3.5000000000007248E-4</v>
      </c>
      <c r="AC9" s="58">
        <f t="shared" si="8"/>
        <v>1.9999999999997797E-4</v>
      </c>
      <c r="AD9" s="95">
        <v>160.25</v>
      </c>
      <c r="AE9" s="95">
        <v>160.25</v>
      </c>
      <c r="AF9" s="95">
        <v>160.25</v>
      </c>
      <c r="AG9" s="95">
        <v>160.25</v>
      </c>
      <c r="AH9" s="95">
        <v>160.25</v>
      </c>
      <c r="AI9" s="95">
        <v>160.25</v>
      </c>
      <c r="AJ9" s="95">
        <v>160.25</v>
      </c>
      <c r="AK9" s="95">
        <v>160.25</v>
      </c>
    </row>
    <row r="10" spans="1:37" ht="15" customHeight="1">
      <c r="A10" s="58">
        <v>175</v>
      </c>
      <c r="B10" s="84">
        <v>175</v>
      </c>
      <c r="C10" s="58">
        <v>2.0506000000000002</v>
      </c>
      <c r="D10" s="58">
        <v>2.0499999999999998</v>
      </c>
      <c r="E10" s="58">
        <v>2.0510000000000002</v>
      </c>
      <c r="F10" s="58">
        <v>2.0510000000000002</v>
      </c>
      <c r="G10" s="58">
        <v>2.0506000000000002</v>
      </c>
      <c r="H10" s="58">
        <v>2.0508999999999999</v>
      </c>
      <c r="I10" s="58">
        <v>2.0510000000000002</v>
      </c>
      <c r="J10" s="58">
        <v>2.0508999999999999</v>
      </c>
      <c r="K10" s="58">
        <f t="shared" si="0"/>
        <v>2.0499999999999998</v>
      </c>
      <c r="L10" s="58">
        <f t="shared" si="1"/>
        <v>2.0510000000000002</v>
      </c>
      <c r="M10" s="58">
        <f t="shared" si="9"/>
        <v>2.0510000000000002</v>
      </c>
      <c r="N10" s="58">
        <f t="shared" si="2"/>
        <v>-1.000000000000334E-3</v>
      </c>
      <c r="O10" s="58">
        <f t="shared" si="3"/>
        <v>0</v>
      </c>
      <c r="P10" s="84">
        <v>175</v>
      </c>
      <c r="Q10" s="58">
        <f t="shared" si="4"/>
        <v>2.0000000000002238E-3</v>
      </c>
      <c r="R10" s="58">
        <f t="shared" si="4"/>
        <v>1.5999999999998238E-3</v>
      </c>
      <c r="S10" s="58">
        <f t="shared" si="4"/>
        <v>2.6000000000001577E-3</v>
      </c>
      <c r="T10" s="58">
        <f t="shared" si="4"/>
        <v>2.4000000000001798E-3</v>
      </c>
      <c r="U10" s="58">
        <f t="shared" si="4"/>
        <v>2.0000000000002238E-3</v>
      </c>
      <c r="V10" s="58">
        <f t="shared" si="4"/>
        <v>2.4999999999999467E-3</v>
      </c>
      <c r="W10" s="58">
        <f t="shared" si="4"/>
        <v>2.4000000000001798E-3</v>
      </c>
      <c r="X10" s="58">
        <f t="shared" si="4"/>
        <v>2.2999999999999687E-3</v>
      </c>
      <c r="Y10" s="58">
        <f t="shared" si="5"/>
        <v>1.5999999999998238E-3</v>
      </c>
      <c r="Z10" s="58">
        <f t="shared" si="6"/>
        <v>2.6000000000001577E-3</v>
      </c>
      <c r="AA10" s="58">
        <f>AVERAGE(Q10:X10)</f>
        <v>2.225000000000088E-3</v>
      </c>
      <c r="AB10" s="58">
        <f t="shared" si="7"/>
        <v>-6.2500000000026423E-4</v>
      </c>
      <c r="AC10" s="58">
        <f t="shared" si="8"/>
        <v>3.7500000000006972E-4</v>
      </c>
      <c r="AD10" s="95">
        <v>175</v>
      </c>
      <c r="AE10" s="95">
        <v>175</v>
      </c>
      <c r="AF10" s="95">
        <v>175</v>
      </c>
      <c r="AG10" s="95">
        <v>175</v>
      </c>
      <c r="AH10" s="95">
        <v>175</v>
      </c>
      <c r="AI10" s="95">
        <v>175</v>
      </c>
      <c r="AJ10" s="95">
        <v>175</v>
      </c>
      <c r="AK10" s="95">
        <v>175</v>
      </c>
    </row>
    <row r="11" spans="1:37" ht="15" customHeight="1">
      <c r="A11" s="58" t="s">
        <v>269</v>
      </c>
      <c r="B11" s="9" t="s">
        <v>157</v>
      </c>
      <c r="C11" s="58">
        <v>7.8399999999999997E-2</v>
      </c>
      <c r="D11" s="58">
        <v>7.8399999999999997E-2</v>
      </c>
      <c r="E11" s="58">
        <v>7.8399999999999997E-2</v>
      </c>
      <c r="F11" s="58">
        <v>7.8350000000000003E-2</v>
      </c>
      <c r="G11" s="58">
        <v>7.8350000000000003E-2</v>
      </c>
      <c r="H11" s="58">
        <v>7.8350000000000003E-2</v>
      </c>
      <c r="I11" s="58">
        <v>7.8299999999999995E-2</v>
      </c>
      <c r="J11" s="58">
        <v>7.825E-2</v>
      </c>
      <c r="K11" s="58">
        <f>MIN(C11:J12)</f>
        <v>7.825E-2</v>
      </c>
      <c r="L11" s="58">
        <f>MAX(C11:J12)</f>
        <v>7.8399999999999997E-2</v>
      </c>
      <c r="M11" s="58">
        <f>MODE(C11:J12)</f>
        <v>7.8350000000000003E-2</v>
      </c>
      <c r="N11" s="58">
        <f t="shared" si="2"/>
        <v>-1.0000000000000286E-4</v>
      </c>
      <c r="O11" s="58">
        <f t="shared" si="3"/>
        <v>4.9999999999994493E-5</v>
      </c>
      <c r="Y11" s="58">
        <f>MIN(Q5:X5,Q9:X9)</f>
        <v>4.4999999999983942E-4</v>
      </c>
      <c r="Z11" s="58">
        <f>MAX(Q5:X5,Q9:X9)</f>
        <v>9.9999999999988987E-4</v>
      </c>
      <c r="AA11" s="58">
        <f>MODE(Q5:X5,Q9:X9)</f>
        <v>7.9999999999991189E-4</v>
      </c>
      <c r="AB11" s="58">
        <f t="shared" si="7"/>
        <v>-3.5000000000007248E-4</v>
      </c>
      <c r="AC11" s="58">
        <f t="shared" si="8"/>
        <v>1.9999999999997797E-4</v>
      </c>
    </row>
    <row r="12" spans="1:37" ht="15" customHeight="1">
      <c r="A12" s="58" t="s">
        <v>269</v>
      </c>
      <c r="B12" s="9" t="s">
        <v>165</v>
      </c>
      <c r="C12" s="58">
        <v>7.8399999999999997E-2</v>
      </c>
      <c r="D12" s="58">
        <v>7.8399999999999997E-2</v>
      </c>
      <c r="E12" s="58">
        <v>7.8350000000000003E-2</v>
      </c>
      <c r="F12" s="58">
        <v>7.8350000000000003E-2</v>
      </c>
      <c r="G12" s="58">
        <v>7.8350000000000003E-2</v>
      </c>
      <c r="H12" s="58">
        <v>7.8350000000000003E-2</v>
      </c>
      <c r="I12" s="58">
        <v>7.8299999999999995E-2</v>
      </c>
      <c r="J12" s="58">
        <v>7.825E-2</v>
      </c>
    </row>
    <row r="13" spans="1:37" ht="15" customHeight="1">
      <c r="A13" s="58" t="s">
        <v>243</v>
      </c>
      <c r="C13" s="58">
        <f>C7-'Rod Journals'!$O$2</f>
        <v>2.0999999999999908E-3</v>
      </c>
      <c r="D13" s="58">
        <f>D7-'Rod Journals'!$O$2</f>
        <v>1.9000000000000128E-3</v>
      </c>
      <c r="E13" s="58">
        <f>E7-'Rod Journals'!$O$2</f>
        <v>1.9000000000000128E-3</v>
      </c>
      <c r="F13" s="58">
        <f>F7-'Rod Journals'!$O$2</f>
        <v>2.0999999999999908E-3</v>
      </c>
      <c r="G13" s="58">
        <f>G7-'Rod Journals'!$O$2</f>
        <v>2.0999999999999908E-3</v>
      </c>
      <c r="H13" s="58">
        <f>H7-'Rod Journals'!$O$2</f>
        <v>1.9000000000000128E-3</v>
      </c>
      <c r="I13" s="58">
        <f>I7-'Rod Journals'!$O$2</f>
        <v>2.0999999999999908E-3</v>
      </c>
      <c r="J13" s="58">
        <f>J7-'Rod Journals'!$O$2</f>
        <v>2.0999999999999908E-3</v>
      </c>
      <c r="K13" s="58">
        <f t="shared" si="0"/>
        <v>1.9000000000000128E-3</v>
      </c>
      <c r="L13" s="58">
        <f t="shared" si="1"/>
        <v>2.0999999999999908E-3</v>
      </c>
      <c r="M13" s="58">
        <f>AVERAGE(C13:J13)</f>
        <v>2.024999999999999E-3</v>
      </c>
      <c r="N13" s="58">
        <f>MIN(C14:J14)-M13</f>
        <v>-4.2500000000017524E-4</v>
      </c>
      <c r="O13" s="58">
        <f>MAX(C15:J15)-M13</f>
        <v>1.7499999999975868E-4</v>
      </c>
    </row>
    <row r="14" spans="1:37" ht="15" customHeight="1">
      <c r="A14" s="58" t="s">
        <v>244</v>
      </c>
      <c r="C14" s="58">
        <f>C7-'Rod Journals'!$N$2</f>
        <v>1.7999999999998018E-3</v>
      </c>
      <c r="D14" s="58">
        <f>D7-'Rod Journals'!$N$2</f>
        <v>1.5999999999998238E-3</v>
      </c>
      <c r="E14" s="58">
        <f>E7-'Rod Journals'!$N$2</f>
        <v>1.5999999999998238E-3</v>
      </c>
      <c r="F14" s="58">
        <f>F7-'Rod Journals'!$N$2</f>
        <v>1.7999999999998018E-3</v>
      </c>
      <c r="G14" s="58">
        <f>G7-'Rod Journals'!$N$2</f>
        <v>1.7999999999998018E-3</v>
      </c>
      <c r="H14" s="58">
        <f>H7-'Rod Journals'!$N$2</f>
        <v>1.5999999999998238E-3</v>
      </c>
      <c r="I14" s="58">
        <f>I7-'Rod Journals'!$N$2</f>
        <v>1.7999999999998018E-3</v>
      </c>
      <c r="J14" s="58">
        <f>J7-'Rod Journals'!$N$2</f>
        <v>1.7999999999998018E-3</v>
      </c>
      <c r="K14" s="58">
        <f>K21-'Rod Journals'!$N$2</f>
        <v>1.5999999999998238E-3</v>
      </c>
    </row>
    <row r="15" spans="1:37" ht="15" customHeight="1">
      <c r="A15" s="58" t="s">
        <v>245</v>
      </c>
      <c r="C15" s="58">
        <f>C7-'Rod Journals'!$M$2</f>
        <v>2.1999999999997577E-3</v>
      </c>
      <c r="D15" s="58">
        <f>D7-'Rod Journals'!$M$2</f>
        <v>1.9999999999997797E-3</v>
      </c>
      <c r="E15" s="58">
        <f>E7-'Rod Journals'!$M$2</f>
        <v>1.9999999999997797E-3</v>
      </c>
      <c r="F15" s="58">
        <f>F7-'Rod Journals'!$M$2</f>
        <v>2.1999999999997577E-3</v>
      </c>
      <c r="G15" s="58">
        <f>G7-'Rod Journals'!$M$2</f>
        <v>2.1999999999997577E-3</v>
      </c>
      <c r="H15" s="58">
        <f>H7-'Rod Journals'!$M$2</f>
        <v>1.9999999999997797E-3</v>
      </c>
      <c r="I15" s="58">
        <f>I7-'Rod Journals'!$M$2</f>
        <v>2.1999999999997577E-3</v>
      </c>
      <c r="J15" s="58">
        <f>J7-'Rod Journals'!$M$2</f>
        <v>2.1999999999997577E-3</v>
      </c>
      <c r="L15" s="58">
        <f>L21-'Rod Journals'!$M$2</f>
        <v>2.1999999999997577E-3</v>
      </c>
    </row>
    <row r="16" spans="1:37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1.5999999999998238E-3</v>
      </c>
      <c r="L16" s="58">
        <f>L15</f>
        <v>2.1999999999997577E-3</v>
      </c>
      <c r="M16" s="58">
        <f>ROUND(AVERAGE(Q21:Z32),4)</f>
        <v>2E-3</v>
      </c>
      <c r="N16" s="58">
        <f>K16-M16</f>
        <v>-4.0000000000017626E-4</v>
      </c>
      <c r="O16" s="58">
        <f>L16-M16</f>
        <v>1.9999999999975766E-4</v>
      </c>
    </row>
    <row r="20" spans="1:29">
      <c r="C20" s="78" t="s">
        <v>175</v>
      </c>
      <c r="D20" s="78" t="s">
        <v>176</v>
      </c>
      <c r="E20" s="78" t="s">
        <v>177</v>
      </c>
      <c r="F20" s="78" t="s">
        <v>178</v>
      </c>
      <c r="G20" s="78" t="s">
        <v>179</v>
      </c>
      <c r="H20" s="78" t="s">
        <v>180</v>
      </c>
      <c r="I20" s="78" t="s">
        <v>181</v>
      </c>
      <c r="J20" s="78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Q20" s="53" t="s">
        <v>275</v>
      </c>
      <c r="R20" s="53" t="s">
        <v>276</v>
      </c>
      <c r="S20" s="53" t="s">
        <v>277</v>
      </c>
      <c r="T20" s="53" t="s">
        <v>278</v>
      </c>
      <c r="U20" s="53" t="s">
        <v>279</v>
      </c>
      <c r="V20" s="53" t="s">
        <v>280</v>
      </c>
      <c r="W20" s="53" t="s">
        <v>281</v>
      </c>
      <c r="X20" s="53" t="s">
        <v>282</v>
      </c>
      <c r="Y20" s="53" t="s">
        <v>195</v>
      </c>
      <c r="Z20" s="53" t="s">
        <v>183</v>
      </c>
      <c r="AA20" s="53" t="s">
        <v>184</v>
      </c>
      <c r="AB20" s="53" t="s">
        <v>185</v>
      </c>
      <c r="AC20" s="53" t="s">
        <v>186</v>
      </c>
    </row>
    <row r="21" spans="1:29">
      <c r="A21" s="58" t="s">
        <v>199</v>
      </c>
      <c r="C21" s="58">
        <f>C7</f>
        <v>2.0486</v>
      </c>
      <c r="D21" s="58">
        <f t="shared" ref="D21:J21" si="11">D7</f>
        <v>2.0484</v>
      </c>
      <c r="E21" s="58">
        <f t="shared" si="11"/>
        <v>2.0484</v>
      </c>
      <c r="F21" s="58">
        <f t="shared" si="11"/>
        <v>2.0486</v>
      </c>
      <c r="G21" s="58">
        <f t="shared" si="11"/>
        <v>2.0486</v>
      </c>
      <c r="H21" s="58">
        <f t="shared" si="11"/>
        <v>2.0484</v>
      </c>
      <c r="I21" s="58">
        <f t="shared" si="11"/>
        <v>2.0486</v>
      </c>
      <c r="J21" s="58">
        <f t="shared" si="11"/>
        <v>2.0486</v>
      </c>
      <c r="K21" s="58">
        <f>MIN(C21:J32)</f>
        <v>2.0484</v>
      </c>
      <c r="L21" s="58">
        <f>MAX(C21:K32)</f>
        <v>2.0486</v>
      </c>
      <c r="M21" s="58">
        <f>MODE(C21:L32)</f>
        <v>2.0486</v>
      </c>
      <c r="N21" s="58">
        <f t="shared" ref="N21" si="12">K21-M21</f>
        <v>-1.9999999999997797E-4</v>
      </c>
      <c r="O21" s="58">
        <f t="shared" ref="O21" si="13">L21-M21</f>
        <v>0</v>
      </c>
      <c r="Q21" s="58">
        <f>C21-'Rod Journals'!$O$2</f>
        <v>2.0999999999999908E-3</v>
      </c>
      <c r="R21" s="58">
        <f>D21-'Rod Journals'!$O$2</f>
        <v>1.9000000000000128E-3</v>
      </c>
      <c r="S21" s="58">
        <f>E21-'Rod Journals'!$O$2</f>
        <v>1.9000000000000128E-3</v>
      </c>
      <c r="T21" s="58">
        <f>F21-'Rod Journals'!$O$2</f>
        <v>2.0999999999999908E-3</v>
      </c>
      <c r="U21" s="58">
        <f>G21-'Rod Journals'!$O$2</f>
        <v>2.0999999999999908E-3</v>
      </c>
      <c r="V21" s="58">
        <f>H21-'Rod Journals'!$O$2</f>
        <v>1.9000000000000128E-3</v>
      </c>
      <c r="W21" s="58">
        <f>I21-'Rod Journals'!$O$2</f>
        <v>2.0999999999999908E-3</v>
      </c>
      <c r="X21" s="58">
        <f>J21-'Rod Journals'!$O$2</f>
        <v>2.0999999999999908E-3</v>
      </c>
      <c r="Y21" s="58">
        <f>MIN(Q21:X32)</f>
        <v>1.9000000000000128E-3</v>
      </c>
      <c r="Z21" s="58">
        <f>MAX(Q21:Y32)</f>
        <v>2.0999999999999908E-3</v>
      </c>
      <c r="AA21" s="58">
        <f>ROUND(AVERAGE(Q21:Z32),4)</f>
        <v>2E-3</v>
      </c>
      <c r="AB21" s="58">
        <f t="shared" ref="AB21" si="14">Y21-AA21</f>
        <v>-9.9999999999987252E-5</v>
      </c>
      <c r="AC21" s="58">
        <f t="shared" ref="AC21" si="15">Z21-AA21</f>
        <v>9.9999999999990721E-5</v>
      </c>
    </row>
    <row r="22" spans="1:29">
      <c r="A22" s="58" t="s">
        <v>200</v>
      </c>
      <c r="Q22" s="58"/>
      <c r="R22" s="58"/>
      <c r="S22" s="58"/>
      <c r="T22" s="58"/>
      <c r="U22" s="58"/>
      <c r="V22" s="58"/>
      <c r="W22" s="58"/>
      <c r="X22" s="58"/>
    </row>
    <row r="23" spans="1:29">
      <c r="A23" s="58" t="s">
        <v>201</v>
      </c>
    </row>
    <row r="24" spans="1:29">
      <c r="A24" s="58" t="s">
        <v>202</v>
      </c>
    </row>
    <row r="25" spans="1:29">
      <c r="A25" s="58" t="s">
        <v>203</v>
      </c>
    </row>
    <row r="26" spans="1:29">
      <c r="A26" s="58" t="s">
        <v>204</v>
      </c>
    </row>
    <row r="27" spans="1:29">
      <c r="A27" s="58" t="s">
        <v>205</v>
      </c>
    </row>
    <row r="28" spans="1:29">
      <c r="A28" s="58" t="s">
        <v>206</v>
      </c>
    </row>
    <row r="29" spans="1:29">
      <c r="A29" s="58" t="s">
        <v>207</v>
      </c>
    </row>
    <row r="30" spans="1:29">
      <c r="A30" s="58" t="s">
        <v>208</v>
      </c>
    </row>
    <row r="31" spans="1:29">
      <c r="A31" s="58" t="s">
        <v>209</v>
      </c>
    </row>
    <row r="32" spans="1:29">
      <c r="A32" s="58" t="s">
        <v>210</v>
      </c>
    </row>
  </sheetData>
  <mergeCells count="1">
    <mergeCell ref="Q2:X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16"/>
  <sheetViews>
    <sheetView workbookViewId="0">
      <selection activeCell="C11" sqref="C11:J12"/>
    </sheetView>
  </sheetViews>
  <sheetFormatPr defaultRowHeight="15"/>
  <cols>
    <col min="1" max="1" width="14" style="58" bestFit="1" customWidth="1"/>
    <col min="2" max="2" width="9.140625" style="9"/>
    <col min="3" max="15" width="9.140625" style="58"/>
    <col min="16" max="16384" width="9.140625" style="9"/>
  </cols>
  <sheetData>
    <row r="1" spans="1:29" ht="15" customHeight="1">
      <c r="A1" s="58" t="s">
        <v>239</v>
      </c>
      <c r="B1" s="9" t="s">
        <v>271</v>
      </c>
    </row>
    <row r="2" spans="1:29" ht="15" customHeight="1">
      <c r="B2" s="9" t="s">
        <v>241</v>
      </c>
      <c r="C2" s="58">
        <v>76.599999999999994</v>
      </c>
      <c r="D2" s="58">
        <v>76.599999999999994</v>
      </c>
      <c r="E2" s="58">
        <v>76.5</v>
      </c>
      <c r="F2" s="58">
        <v>76.5</v>
      </c>
      <c r="G2" s="58">
        <v>76.400000000000006</v>
      </c>
      <c r="H2" s="58">
        <v>76.400000000000006</v>
      </c>
      <c r="I2" s="58">
        <v>76.3</v>
      </c>
      <c r="J2" s="58">
        <v>76.599999999999994</v>
      </c>
      <c r="Q2" s="101" t="s">
        <v>270</v>
      </c>
      <c r="R2" s="101"/>
      <c r="S2" s="101"/>
      <c r="T2" s="101"/>
      <c r="U2" s="101"/>
      <c r="V2" s="101"/>
      <c r="W2" s="101"/>
      <c r="X2" s="101"/>
    </row>
    <row r="3" spans="1:29" ht="15" customHeight="1">
      <c r="B3" s="9" t="s">
        <v>242</v>
      </c>
      <c r="C3" s="58">
        <v>71.599999999999994</v>
      </c>
      <c r="D3" s="58">
        <v>71.2</v>
      </c>
      <c r="E3" s="58">
        <v>71.599999999999994</v>
      </c>
      <c r="F3" s="58">
        <v>71.599999999999994</v>
      </c>
      <c r="G3" s="58">
        <v>71.7</v>
      </c>
      <c r="H3" s="58">
        <v>72.099999999999994</v>
      </c>
      <c r="I3" s="58">
        <v>71.900000000000006</v>
      </c>
      <c r="J3" s="58">
        <v>72.5</v>
      </c>
      <c r="Q3" s="68" t="s">
        <v>175</v>
      </c>
      <c r="R3" s="68" t="s">
        <v>176</v>
      </c>
      <c r="S3" s="68" t="s">
        <v>177</v>
      </c>
      <c r="T3" s="68" t="s">
        <v>178</v>
      </c>
      <c r="U3" s="68" t="s">
        <v>179</v>
      </c>
      <c r="V3" s="68" t="s">
        <v>180</v>
      </c>
      <c r="W3" s="68" t="s">
        <v>181</v>
      </c>
      <c r="X3" s="68" t="s">
        <v>182</v>
      </c>
      <c r="Y3" s="53" t="s">
        <v>195</v>
      </c>
      <c r="Z3" s="53" t="s">
        <v>183</v>
      </c>
      <c r="AA3" s="53" t="s">
        <v>184</v>
      </c>
      <c r="AB3" s="53" t="s">
        <v>185</v>
      </c>
      <c r="AC3" s="53" t="s">
        <v>186</v>
      </c>
    </row>
    <row r="4" spans="1:29" ht="15" customHeight="1">
      <c r="A4" s="58">
        <v>5</v>
      </c>
      <c r="K4" s="58">
        <f t="shared" ref="K4:K14" si="0">MIN(C4:J4)</f>
        <v>0</v>
      </c>
      <c r="L4" s="58">
        <f t="shared" ref="L4:L13" si="1">MAX(C4:J4)</f>
        <v>0</v>
      </c>
      <c r="M4" s="58" t="e">
        <f>MODE(C4:J4)</f>
        <v>#N/A</v>
      </c>
      <c r="N4" s="58" t="e">
        <f t="shared" ref="N4:N12" si="2">K4-M4</f>
        <v>#N/A</v>
      </c>
      <c r="O4" s="58" t="e">
        <f t="shared" ref="O4:O12" si="3">L4-M4</f>
        <v>#N/A</v>
      </c>
      <c r="Q4" s="58">
        <f t="shared" ref="Q4:X10" si="4">C4-C$7</f>
        <v>-2.0484499999999999</v>
      </c>
      <c r="R4" s="58">
        <f t="shared" si="4"/>
        <v>-2.0482999999999998</v>
      </c>
      <c r="S4" s="58">
        <f t="shared" si="4"/>
        <v>-2.0485500000000001</v>
      </c>
      <c r="T4" s="58">
        <f t="shared" si="4"/>
        <v>-2.0483500000000001</v>
      </c>
      <c r="U4" s="58">
        <f t="shared" si="4"/>
        <v>-2.0485000000000002</v>
      </c>
      <c r="V4" s="58">
        <f t="shared" si="4"/>
        <v>-2.0484499999999999</v>
      </c>
      <c r="W4" s="58">
        <f t="shared" si="4"/>
        <v>-2.0483500000000001</v>
      </c>
      <c r="X4" s="58">
        <f t="shared" si="4"/>
        <v>-2.0483500000000001</v>
      </c>
      <c r="Y4" s="58">
        <f t="shared" ref="Y4:Y10" si="5">MIN(Q4:X4)</f>
        <v>-2.0485500000000001</v>
      </c>
      <c r="Z4" s="58">
        <f t="shared" ref="Z4:Z10" si="6">MAX(Q4:X4)</f>
        <v>-2.0482999999999998</v>
      </c>
      <c r="AA4" s="58">
        <f>MODE(Q4:X4)</f>
        <v>-2.0483500000000001</v>
      </c>
      <c r="AB4" s="58">
        <f t="shared" ref="AB4:AB11" si="7">Y4-AA4</f>
        <v>-1.9999999999997797E-4</v>
      </c>
      <c r="AC4" s="58">
        <f t="shared" ref="AC4:AC11" si="8">Z4-AA4</f>
        <v>5.000000000032756E-5</v>
      </c>
    </row>
    <row r="5" spans="1:29" ht="15" customHeight="1">
      <c r="A5" s="58">
        <v>19.75</v>
      </c>
      <c r="K5" s="58">
        <f t="shared" si="0"/>
        <v>0</v>
      </c>
      <c r="L5" s="58">
        <f t="shared" si="1"/>
        <v>0</v>
      </c>
      <c r="M5" s="58" t="e">
        <f t="shared" ref="M5:M12" si="9">MODE(C5:J5)</f>
        <v>#N/A</v>
      </c>
      <c r="N5" s="58" t="e">
        <f t="shared" si="2"/>
        <v>#N/A</v>
      </c>
      <c r="O5" s="58" t="e">
        <f t="shared" si="3"/>
        <v>#N/A</v>
      </c>
      <c r="Q5" s="58">
        <f t="shared" si="4"/>
        <v>-2.0484499999999999</v>
      </c>
      <c r="R5" s="58">
        <f t="shared" si="4"/>
        <v>-2.0482999999999998</v>
      </c>
      <c r="S5" s="58">
        <f t="shared" si="4"/>
        <v>-2.0485500000000001</v>
      </c>
      <c r="T5" s="58">
        <f t="shared" si="4"/>
        <v>-2.0483500000000001</v>
      </c>
      <c r="U5" s="58">
        <f t="shared" si="4"/>
        <v>-2.0485000000000002</v>
      </c>
      <c r="V5" s="58">
        <f t="shared" si="4"/>
        <v>-2.0484499999999999</v>
      </c>
      <c r="W5" s="58">
        <f t="shared" si="4"/>
        <v>-2.0483500000000001</v>
      </c>
      <c r="X5" s="58">
        <f t="shared" si="4"/>
        <v>-2.0483500000000001</v>
      </c>
      <c r="Y5" s="58">
        <f t="shared" si="5"/>
        <v>-2.0485500000000001</v>
      </c>
      <c r="Z5" s="58">
        <f t="shared" si="6"/>
        <v>-2.0482999999999998</v>
      </c>
      <c r="AA5" s="58">
        <f t="shared" ref="AA5:AA9" si="10">MODE(Q5:X5)</f>
        <v>-2.0483500000000001</v>
      </c>
      <c r="AB5" s="58">
        <f t="shared" si="7"/>
        <v>-1.9999999999997797E-4</v>
      </c>
      <c r="AC5" s="58">
        <f t="shared" si="8"/>
        <v>5.000000000032756E-5</v>
      </c>
    </row>
    <row r="6" spans="1:29" ht="15" customHeight="1">
      <c r="A6" s="58">
        <v>45</v>
      </c>
      <c r="K6" s="58">
        <f t="shared" si="0"/>
        <v>0</v>
      </c>
      <c r="L6" s="58">
        <f t="shared" si="1"/>
        <v>0</v>
      </c>
      <c r="M6" s="58" t="e">
        <f t="shared" si="9"/>
        <v>#N/A</v>
      </c>
      <c r="N6" s="58" t="e">
        <f t="shared" si="2"/>
        <v>#N/A</v>
      </c>
      <c r="O6" s="58" t="e">
        <f t="shared" si="3"/>
        <v>#N/A</v>
      </c>
      <c r="Q6" s="58">
        <f t="shared" si="4"/>
        <v>-2.0484499999999999</v>
      </c>
      <c r="R6" s="58">
        <f t="shared" si="4"/>
        <v>-2.0482999999999998</v>
      </c>
      <c r="S6" s="58">
        <f t="shared" si="4"/>
        <v>-2.0485500000000001</v>
      </c>
      <c r="T6" s="58">
        <f t="shared" si="4"/>
        <v>-2.0483500000000001</v>
      </c>
      <c r="U6" s="58">
        <f t="shared" si="4"/>
        <v>-2.0485000000000002</v>
      </c>
      <c r="V6" s="58">
        <f t="shared" si="4"/>
        <v>-2.0484499999999999</v>
      </c>
      <c r="W6" s="58">
        <f t="shared" si="4"/>
        <v>-2.0483500000000001</v>
      </c>
      <c r="X6" s="58">
        <f t="shared" si="4"/>
        <v>-2.0483500000000001</v>
      </c>
      <c r="Y6" s="58">
        <f t="shared" si="5"/>
        <v>-2.0485500000000001</v>
      </c>
      <c r="Z6" s="58">
        <f t="shared" si="6"/>
        <v>-2.0482999999999998</v>
      </c>
      <c r="AA6" s="58">
        <f t="shared" si="10"/>
        <v>-2.0483500000000001</v>
      </c>
      <c r="AB6" s="58">
        <f t="shared" si="7"/>
        <v>-1.9999999999997797E-4</v>
      </c>
      <c r="AC6" s="58">
        <f t="shared" si="8"/>
        <v>5.000000000032756E-5</v>
      </c>
    </row>
    <row r="7" spans="1:29" ht="15" customHeight="1">
      <c r="A7" s="58">
        <v>90</v>
      </c>
      <c r="C7" s="58">
        <v>2.0484499999999999</v>
      </c>
      <c r="D7" s="58">
        <v>2.0482999999999998</v>
      </c>
      <c r="E7" s="58">
        <v>2.0485500000000001</v>
      </c>
      <c r="F7" s="58">
        <v>2.0483500000000001</v>
      </c>
      <c r="G7" s="58">
        <v>2.0485000000000002</v>
      </c>
      <c r="H7" s="58">
        <v>2.0484499999999999</v>
      </c>
      <c r="I7" s="58">
        <v>2.0483500000000001</v>
      </c>
      <c r="J7" s="58">
        <v>2.0483500000000001</v>
      </c>
      <c r="K7" s="58">
        <f t="shared" si="0"/>
        <v>2.0482999999999998</v>
      </c>
      <c r="L7" s="58">
        <f t="shared" si="1"/>
        <v>2.0485500000000001</v>
      </c>
      <c r="M7" s="58">
        <f t="shared" si="9"/>
        <v>2.0483500000000001</v>
      </c>
      <c r="N7" s="58">
        <f t="shared" si="2"/>
        <v>-5.000000000032756E-5</v>
      </c>
      <c r="O7" s="58">
        <f t="shared" si="3"/>
        <v>1.9999999999997797E-4</v>
      </c>
      <c r="Q7" s="58">
        <f>C7-C$7</f>
        <v>0</v>
      </c>
      <c r="R7" s="58">
        <f t="shared" si="4"/>
        <v>0</v>
      </c>
      <c r="S7" s="58">
        <f t="shared" si="4"/>
        <v>0</v>
      </c>
      <c r="T7" s="58">
        <f t="shared" si="4"/>
        <v>0</v>
      </c>
      <c r="U7" s="58">
        <f t="shared" si="4"/>
        <v>0</v>
      </c>
      <c r="V7" s="58">
        <f t="shared" si="4"/>
        <v>0</v>
      </c>
      <c r="W7" s="58">
        <f t="shared" si="4"/>
        <v>0</v>
      </c>
      <c r="X7" s="58">
        <f t="shared" si="4"/>
        <v>0</v>
      </c>
      <c r="Y7" s="58">
        <f t="shared" si="5"/>
        <v>0</v>
      </c>
      <c r="Z7" s="58">
        <f t="shared" si="6"/>
        <v>0</v>
      </c>
      <c r="AA7" s="58">
        <f t="shared" si="10"/>
        <v>0</v>
      </c>
      <c r="AB7" s="58">
        <f t="shared" si="7"/>
        <v>0</v>
      </c>
      <c r="AC7" s="58">
        <f t="shared" si="8"/>
        <v>0</v>
      </c>
    </row>
    <row r="8" spans="1:29" ht="15" customHeight="1">
      <c r="A8" s="58">
        <v>135</v>
      </c>
      <c r="K8" s="58">
        <f t="shared" si="0"/>
        <v>0</v>
      </c>
      <c r="L8" s="58">
        <f t="shared" si="1"/>
        <v>0</v>
      </c>
      <c r="M8" s="58" t="e">
        <f t="shared" si="9"/>
        <v>#N/A</v>
      </c>
      <c r="N8" s="58" t="e">
        <f t="shared" si="2"/>
        <v>#N/A</v>
      </c>
      <c r="O8" s="58" t="e">
        <f t="shared" si="3"/>
        <v>#N/A</v>
      </c>
      <c r="Q8" s="58">
        <f t="shared" si="4"/>
        <v>-2.0484499999999999</v>
      </c>
      <c r="R8" s="58">
        <f t="shared" si="4"/>
        <v>-2.0482999999999998</v>
      </c>
      <c r="S8" s="58">
        <f t="shared" si="4"/>
        <v>-2.0485500000000001</v>
      </c>
      <c r="T8" s="58">
        <f t="shared" si="4"/>
        <v>-2.0483500000000001</v>
      </c>
      <c r="U8" s="58">
        <f t="shared" si="4"/>
        <v>-2.0485000000000002</v>
      </c>
      <c r="V8" s="58">
        <f t="shared" si="4"/>
        <v>-2.0484499999999999</v>
      </c>
      <c r="W8" s="58">
        <f t="shared" si="4"/>
        <v>-2.0483500000000001</v>
      </c>
      <c r="X8" s="58">
        <f t="shared" si="4"/>
        <v>-2.0483500000000001</v>
      </c>
      <c r="Y8" s="58">
        <f t="shared" si="5"/>
        <v>-2.0485500000000001</v>
      </c>
      <c r="Z8" s="58">
        <f t="shared" si="6"/>
        <v>-2.0482999999999998</v>
      </c>
      <c r="AA8" s="58">
        <f t="shared" si="10"/>
        <v>-2.0483500000000001</v>
      </c>
      <c r="AB8" s="58">
        <f t="shared" si="7"/>
        <v>-1.9999999999997797E-4</v>
      </c>
      <c r="AC8" s="58">
        <f t="shared" si="8"/>
        <v>5.000000000032756E-5</v>
      </c>
    </row>
    <row r="9" spans="1:29" ht="15" customHeight="1">
      <c r="A9" s="58">
        <v>160.25</v>
      </c>
      <c r="K9" s="58">
        <f t="shared" si="0"/>
        <v>0</v>
      </c>
      <c r="L9" s="58">
        <f t="shared" si="1"/>
        <v>0</v>
      </c>
      <c r="M9" s="58" t="e">
        <f t="shared" si="9"/>
        <v>#N/A</v>
      </c>
      <c r="N9" s="58" t="e">
        <f t="shared" si="2"/>
        <v>#N/A</v>
      </c>
      <c r="O9" s="58" t="e">
        <f t="shared" si="3"/>
        <v>#N/A</v>
      </c>
      <c r="Q9" s="58">
        <f t="shared" si="4"/>
        <v>-2.0484499999999999</v>
      </c>
      <c r="R9" s="58">
        <f t="shared" si="4"/>
        <v>-2.0482999999999998</v>
      </c>
      <c r="S9" s="58">
        <f t="shared" si="4"/>
        <v>-2.0485500000000001</v>
      </c>
      <c r="T9" s="58">
        <f t="shared" si="4"/>
        <v>-2.0483500000000001</v>
      </c>
      <c r="U9" s="58">
        <f t="shared" si="4"/>
        <v>-2.0485000000000002</v>
      </c>
      <c r="V9" s="58">
        <f t="shared" si="4"/>
        <v>-2.0484499999999999</v>
      </c>
      <c r="W9" s="58">
        <f t="shared" si="4"/>
        <v>-2.0483500000000001</v>
      </c>
      <c r="X9" s="58">
        <f t="shared" si="4"/>
        <v>-2.0483500000000001</v>
      </c>
      <c r="Y9" s="58">
        <f t="shared" si="5"/>
        <v>-2.0485500000000001</v>
      </c>
      <c r="Z9" s="58">
        <f t="shared" si="6"/>
        <v>-2.0482999999999998</v>
      </c>
      <c r="AA9" s="58">
        <f t="shared" si="10"/>
        <v>-2.0483500000000001</v>
      </c>
      <c r="AB9" s="58">
        <f t="shared" si="7"/>
        <v>-1.9999999999997797E-4</v>
      </c>
      <c r="AC9" s="58">
        <f t="shared" si="8"/>
        <v>5.000000000032756E-5</v>
      </c>
    </row>
    <row r="10" spans="1:29" ht="15" customHeight="1">
      <c r="A10" s="58">
        <v>175</v>
      </c>
      <c r="K10" s="58">
        <f t="shared" si="0"/>
        <v>0</v>
      </c>
      <c r="L10" s="58">
        <f t="shared" si="1"/>
        <v>0</v>
      </c>
      <c r="M10" s="58" t="e">
        <f t="shared" si="9"/>
        <v>#N/A</v>
      </c>
      <c r="N10" s="58" t="e">
        <f t="shared" si="2"/>
        <v>#N/A</v>
      </c>
      <c r="O10" s="58" t="e">
        <f t="shared" si="3"/>
        <v>#N/A</v>
      </c>
      <c r="Q10" s="58">
        <f t="shared" si="4"/>
        <v>-2.0484499999999999</v>
      </c>
      <c r="R10" s="58">
        <f t="shared" si="4"/>
        <v>-2.0482999999999998</v>
      </c>
      <c r="S10" s="58">
        <f t="shared" si="4"/>
        <v>-2.0485500000000001</v>
      </c>
      <c r="T10" s="58">
        <f t="shared" si="4"/>
        <v>-2.0483500000000001</v>
      </c>
      <c r="U10" s="58">
        <f t="shared" si="4"/>
        <v>-2.0485000000000002</v>
      </c>
      <c r="V10" s="58">
        <f t="shared" si="4"/>
        <v>-2.0484499999999999</v>
      </c>
      <c r="W10" s="58">
        <f t="shared" si="4"/>
        <v>-2.0483500000000001</v>
      </c>
      <c r="X10" s="58">
        <f t="shared" si="4"/>
        <v>-2.0483500000000001</v>
      </c>
      <c r="Y10" s="58">
        <f t="shared" si="5"/>
        <v>-2.0485500000000001</v>
      </c>
      <c r="Z10" s="58">
        <f t="shared" si="6"/>
        <v>-2.0482999999999998</v>
      </c>
      <c r="AA10" s="58">
        <f>AVERAGE(Q10:X10)</f>
        <v>-2.0484125</v>
      </c>
      <c r="AB10" s="58">
        <f t="shared" si="7"/>
        <v>-1.3750000000012363E-4</v>
      </c>
      <c r="AC10" s="58">
        <f t="shared" si="8"/>
        <v>1.125000000001819E-4</v>
      </c>
    </row>
    <row r="11" spans="1:29" ht="15" customHeight="1">
      <c r="A11" s="58" t="s">
        <v>269</v>
      </c>
      <c r="B11" s="9" t="s">
        <v>235</v>
      </c>
      <c r="C11" s="58">
        <f>'Virgin 702_703'!C11-0.00015</f>
        <v>7.85E-2</v>
      </c>
      <c r="D11" s="58">
        <f>'Virgin 702_703'!D11-0.00015</f>
        <v>7.85E-2</v>
      </c>
      <c r="E11" s="58">
        <f>'Virgin 702_703'!E11-0.00015</f>
        <v>7.8550000000000009E-2</v>
      </c>
      <c r="F11" s="58">
        <f>'Virgin 702_703'!F11-0.00015</f>
        <v>7.85E-2</v>
      </c>
      <c r="G11" s="58">
        <f>'Virgin 702_703'!G11-0.00015</f>
        <v>7.85E-2</v>
      </c>
      <c r="H11" s="58">
        <f>'Virgin 702_703'!H11-0.00015</f>
        <v>7.85E-2</v>
      </c>
      <c r="I11" s="58">
        <f>'Virgin 702_703'!I11-0.00015</f>
        <v>7.85E-2</v>
      </c>
      <c r="J11" s="58">
        <f>'Virgin 702_703'!J11-0.00015</f>
        <v>7.8550000000000009E-2</v>
      </c>
      <c r="K11" s="58">
        <f t="shared" si="0"/>
        <v>7.85E-2</v>
      </c>
      <c r="L11" s="58">
        <f t="shared" si="1"/>
        <v>7.8550000000000009E-2</v>
      </c>
      <c r="M11" s="58">
        <f t="shared" si="9"/>
        <v>7.85E-2</v>
      </c>
      <c r="N11" s="58">
        <f t="shared" si="2"/>
        <v>0</v>
      </c>
      <c r="O11" s="58">
        <f t="shared" si="3"/>
        <v>5.0000000000008371E-5</v>
      </c>
      <c r="Y11" s="58">
        <f>MIN(Q5:X5,Q9:X9)</f>
        <v>-2.0485500000000001</v>
      </c>
      <c r="Z11" s="58">
        <f>MAX(Q5:X5,Q9:X9)</f>
        <v>-2.0482999999999998</v>
      </c>
      <c r="AA11" s="58">
        <f>MODE(Q5:X5,Q9:X9)</f>
        <v>-2.0483500000000001</v>
      </c>
      <c r="AB11" s="58">
        <f t="shared" si="7"/>
        <v>-1.9999999999997797E-4</v>
      </c>
      <c r="AC11" s="58">
        <f t="shared" si="8"/>
        <v>5.000000000032756E-5</v>
      </c>
    </row>
    <row r="12" spans="1:29" ht="15" customHeight="1">
      <c r="A12" s="58" t="s">
        <v>269</v>
      </c>
      <c r="B12" s="9" t="s">
        <v>236</v>
      </c>
      <c r="C12" s="58">
        <f>'Virgin 702_703'!C12-0.00015</f>
        <v>7.8350000000000003E-2</v>
      </c>
      <c r="D12" s="58">
        <f>'Virgin 702_703'!D12-0.00015</f>
        <v>7.8399999999999997E-2</v>
      </c>
      <c r="E12" s="58">
        <f>'Virgin 702_703'!E12-0.00015</f>
        <v>7.8350000000000003E-2</v>
      </c>
      <c r="F12" s="58">
        <f>'Virgin 702_703'!F12-0.00015</f>
        <v>7.8350000000000003E-2</v>
      </c>
      <c r="G12" s="58">
        <f>'Virgin 702_703'!G12-0.00015</f>
        <v>7.8399999999999997E-2</v>
      </c>
      <c r="H12" s="58">
        <f>'Virgin 702_703'!H12-0.00015</f>
        <v>7.8399999999999997E-2</v>
      </c>
      <c r="I12" s="58">
        <f>'Virgin 702_703'!I12-0.00015</f>
        <v>7.8350000000000003E-2</v>
      </c>
      <c r="J12" s="58">
        <f>'Virgin 702_703'!J12-0.00015</f>
        <v>7.8350000000000003E-2</v>
      </c>
      <c r="K12" s="58">
        <f t="shared" si="0"/>
        <v>7.8350000000000003E-2</v>
      </c>
      <c r="L12" s="58">
        <f t="shared" si="1"/>
        <v>7.8399999999999997E-2</v>
      </c>
      <c r="M12" s="58">
        <f t="shared" si="9"/>
        <v>7.8350000000000003E-2</v>
      </c>
      <c r="N12" s="58">
        <f t="shared" si="2"/>
        <v>0</v>
      </c>
      <c r="O12" s="58">
        <f t="shared" si="3"/>
        <v>4.9999999999994493E-5</v>
      </c>
    </row>
    <row r="13" spans="1:29" ht="15" customHeight="1">
      <c r="A13" s="58" t="s">
        <v>243</v>
      </c>
      <c r="C13" s="58">
        <f>C7-'Rod Journals'!$O$2</f>
        <v>1.9499999999998963E-3</v>
      </c>
      <c r="D13" s="58">
        <f>D7-'Rod Journals'!$O$2</f>
        <v>1.7999999999998018E-3</v>
      </c>
      <c r="E13" s="58">
        <f>E7-'Rod Journals'!$O$2</f>
        <v>2.0500000000001073E-3</v>
      </c>
      <c r="F13" s="58">
        <f>F7-'Rod Journals'!$O$2</f>
        <v>1.8500000000001293E-3</v>
      </c>
      <c r="G13" s="58">
        <f>G7-'Rod Journals'!$O$2</f>
        <v>2.0000000000002238E-3</v>
      </c>
      <c r="H13" s="58">
        <f>H7-'Rod Journals'!$O$2</f>
        <v>1.9499999999998963E-3</v>
      </c>
      <c r="I13" s="58">
        <f>I7-'Rod Journals'!$O$2</f>
        <v>1.8500000000001293E-3</v>
      </c>
      <c r="J13" s="58">
        <f>J7-'Rod Journals'!$O$2</f>
        <v>1.8500000000001293E-3</v>
      </c>
      <c r="K13" s="58">
        <f t="shared" si="0"/>
        <v>1.7999999999998018E-3</v>
      </c>
      <c r="L13" s="58">
        <f t="shared" si="1"/>
        <v>2.0500000000001073E-3</v>
      </c>
      <c r="M13" s="58">
        <f>MODE(C13:J13)</f>
        <v>1.8500000000001293E-3</v>
      </c>
      <c r="N13" s="58">
        <f>MIN(C14:J14)-M13</f>
        <v>-3.5000000000051656E-4</v>
      </c>
      <c r="O13" s="58">
        <f>MAX(C15:J15)-M13</f>
        <v>2.9999999999974492E-4</v>
      </c>
    </row>
    <row r="14" spans="1:29" ht="15" customHeight="1">
      <c r="A14" s="58" t="s">
        <v>244</v>
      </c>
      <c r="C14" s="58">
        <f>C7-'Rod Journals'!$N$2</f>
        <v>1.6499999999997073E-3</v>
      </c>
      <c r="D14" s="58">
        <f>D7-'Rod Journals'!$N$2</f>
        <v>1.4999999999996128E-3</v>
      </c>
      <c r="E14" s="58">
        <f>E7-'Rod Journals'!$N$2</f>
        <v>1.7499999999999183E-3</v>
      </c>
      <c r="F14" s="58">
        <f>F7-'Rod Journals'!$N$2</f>
        <v>1.5499999999999403E-3</v>
      </c>
      <c r="G14" s="58">
        <f>G7-'Rod Journals'!$N$2</f>
        <v>1.7000000000000348E-3</v>
      </c>
      <c r="H14" s="58">
        <f>H7-'Rod Journals'!$N$2</f>
        <v>1.6499999999997073E-3</v>
      </c>
      <c r="I14" s="58">
        <f>I7-'Rod Journals'!$N$2</f>
        <v>1.5499999999999403E-3</v>
      </c>
      <c r="J14" s="58">
        <f>J7-'Rod Journals'!$N$2</f>
        <v>1.5499999999999403E-3</v>
      </c>
      <c r="K14" s="58">
        <f t="shared" si="0"/>
        <v>1.4999999999996128E-3</v>
      </c>
    </row>
    <row r="15" spans="1:29" ht="15" customHeight="1">
      <c r="A15" s="58" t="s">
        <v>245</v>
      </c>
      <c r="C15" s="58">
        <f>C7-'Rod Journals'!$M$2</f>
        <v>2.0499999999996632E-3</v>
      </c>
      <c r="D15" s="58">
        <f>D7-'Rod Journals'!$M$2</f>
        <v>1.8999999999995687E-3</v>
      </c>
      <c r="E15" s="58">
        <f>E7-'Rod Journals'!$M$2</f>
        <v>2.1499999999998742E-3</v>
      </c>
      <c r="F15" s="58">
        <f>F7-'Rod Journals'!$M$2</f>
        <v>1.9499999999998963E-3</v>
      </c>
      <c r="G15" s="58">
        <f>G7-'Rod Journals'!$M$2</f>
        <v>2.0999999999999908E-3</v>
      </c>
      <c r="H15" s="58">
        <f>H7-'Rod Journals'!$M$2</f>
        <v>2.0499999999996632E-3</v>
      </c>
      <c r="I15" s="58">
        <f>I7-'Rod Journals'!$M$2</f>
        <v>1.9499999999998963E-3</v>
      </c>
      <c r="J15" s="58">
        <f>J7-'Rod Journals'!$M$2</f>
        <v>1.9499999999998963E-3</v>
      </c>
      <c r="L15" s="58">
        <f>MAX(C15:J15)</f>
        <v>2.1499999999998742E-3</v>
      </c>
    </row>
    <row r="16" spans="1:29">
      <c r="A16" s="58" t="s">
        <v>274</v>
      </c>
      <c r="C16" s="9"/>
      <c r="D16" s="9"/>
      <c r="E16" s="9"/>
      <c r="F16" s="9"/>
      <c r="G16" s="9"/>
      <c r="H16" s="9"/>
      <c r="I16" s="9"/>
      <c r="J16" s="9"/>
      <c r="K16" s="58">
        <f>K14</f>
        <v>1.4999999999996128E-3</v>
      </c>
      <c r="L16" s="58">
        <f>L15</f>
        <v>2.1499999999998742E-3</v>
      </c>
      <c r="M16" s="58">
        <f>M13</f>
        <v>1.8500000000001293E-3</v>
      </c>
      <c r="N16" s="58">
        <f>K16-M16</f>
        <v>-3.5000000000051656E-4</v>
      </c>
      <c r="O16" s="58">
        <f>L16-M16</f>
        <v>2.9999999999974492E-4</v>
      </c>
    </row>
  </sheetData>
  <mergeCells count="1">
    <mergeCell ref="Q2:X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K18"/>
  <sheetViews>
    <sheetView zoomScaleNormal="100" workbookViewId="0"/>
  </sheetViews>
  <sheetFormatPr defaultRowHeight="15"/>
  <cols>
    <col min="1" max="1" width="15.5703125" style="39"/>
    <col min="2" max="2" width="35.85546875" style="39"/>
    <col min="3" max="3" width="8.42578125" style="39"/>
    <col min="4" max="4" width="5.7109375" style="39"/>
    <col min="5" max="5" width="23" style="39"/>
    <col min="6" max="6" width="23.5703125" style="39"/>
    <col min="7" max="7" width="15.85546875" style="40"/>
    <col min="8" max="8" width="15" style="40"/>
    <col min="9" max="9" width="14.28515625" style="39"/>
    <col min="10" max="1025" width="9.140625" style="41"/>
  </cols>
  <sheetData>
    <row r="1" spans="1:9" s="44" customFormat="1" ht="18" customHeight="1">
      <c r="A1" s="42"/>
      <c r="B1" s="42" t="s">
        <v>211</v>
      </c>
      <c r="C1" s="42"/>
      <c r="D1" s="42"/>
      <c r="E1" s="42"/>
      <c r="F1" s="42"/>
      <c r="G1" s="43"/>
      <c r="H1" s="43"/>
      <c r="I1" s="42"/>
    </row>
    <row r="2" spans="1:9" ht="12.75" customHeight="1">
      <c r="A2" s="45" t="s">
        <v>125</v>
      </c>
      <c r="B2" s="45" t="s">
        <v>126</v>
      </c>
      <c r="C2" s="45" t="s">
        <v>152</v>
      </c>
      <c r="D2" s="45" t="s">
        <v>153</v>
      </c>
      <c r="E2" s="45" t="s">
        <v>154</v>
      </c>
      <c r="F2" s="45" t="s">
        <v>129</v>
      </c>
      <c r="G2" s="46" t="s">
        <v>130</v>
      </c>
      <c r="H2" s="46" t="s">
        <v>131</v>
      </c>
      <c r="I2" s="45" t="s">
        <v>132</v>
      </c>
    </row>
    <row r="3" spans="1:9" ht="12.75" customHeight="1">
      <c r="A3" s="39" t="s">
        <v>212</v>
      </c>
      <c r="B3" s="39" t="s">
        <v>213</v>
      </c>
      <c r="C3" s="39" t="s">
        <v>165</v>
      </c>
      <c r="D3" s="39" t="s">
        <v>214</v>
      </c>
      <c r="E3" s="39" t="s">
        <v>215</v>
      </c>
      <c r="F3" s="39" t="s">
        <v>137</v>
      </c>
      <c r="G3" s="40">
        <v>38078</v>
      </c>
      <c r="H3" s="40">
        <v>38078</v>
      </c>
      <c r="I3" s="39" t="s">
        <v>216</v>
      </c>
    </row>
    <row r="4" spans="1:9" s="52" customFormat="1" ht="12.75" customHeight="1">
      <c r="A4" s="50" t="s">
        <v>217</v>
      </c>
      <c r="B4" s="50" t="s">
        <v>213</v>
      </c>
      <c r="C4" s="50" t="s">
        <v>157</v>
      </c>
      <c r="D4" s="50" t="s">
        <v>218</v>
      </c>
      <c r="E4" s="50" t="s">
        <v>215</v>
      </c>
      <c r="F4" s="50" t="s">
        <v>137</v>
      </c>
      <c r="G4" s="51">
        <v>38078</v>
      </c>
      <c r="H4" s="51">
        <v>38078</v>
      </c>
      <c r="I4" s="50" t="s">
        <v>219</v>
      </c>
    </row>
    <row r="5" spans="1:9" ht="12.75" customHeight="1">
      <c r="A5" s="39" t="s">
        <v>216</v>
      </c>
      <c r="B5" s="39" t="s">
        <v>213</v>
      </c>
      <c r="C5" s="39" t="s">
        <v>165</v>
      </c>
      <c r="D5" s="39" t="s">
        <v>214</v>
      </c>
      <c r="E5" s="39" t="s">
        <v>215</v>
      </c>
      <c r="F5" s="39" t="s">
        <v>137</v>
      </c>
      <c r="G5" s="40">
        <v>38231</v>
      </c>
      <c r="H5" s="40">
        <v>39173</v>
      </c>
      <c r="I5" s="39" t="s">
        <v>220</v>
      </c>
    </row>
    <row r="6" spans="1:9" s="52" customFormat="1" ht="12.75" customHeight="1">
      <c r="A6" s="50" t="s">
        <v>219</v>
      </c>
      <c r="B6" s="50" t="s">
        <v>213</v>
      </c>
      <c r="C6" s="50" t="s">
        <v>157</v>
      </c>
      <c r="D6" s="50" t="s">
        <v>218</v>
      </c>
      <c r="E6" s="50" t="s">
        <v>215</v>
      </c>
      <c r="F6" s="50" t="s">
        <v>137</v>
      </c>
      <c r="G6" s="51">
        <v>38231</v>
      </c>
      <c r="H6" s="51">
        <v>39203</v>
      </c>
      <c r="I6" s="50" t="s">
        <v>221</v>
      </c>
    </row>
    <row r="7" spans="1:9" ht="12.75" customHeight="1">
      <c r="A7" s="39" t="s">
        <v>220</v>
      </c>
      <c r="B7" s="39" t="s">
        <v>213</v>
      </c>
      <c r="C7" s="39" t="s">
        <v>165</v>
      </c>
      <c r="D7" s="39" t="s">
        <v>214</v>
      </c>
      <c r="E7" s="39" t="s">
        <v>215</v>
      </c>
      <c r="F7" s="39" t="s">
        <v>169</v>
      </c>
      <c r="G7" s="40">
        <v>38749</v>
      </c>
      <c r="H7" s="40">
        <v>40817</v>
      </c>
      <c r="I7" s="39" t="s">
        <v>222</v>
      </c>
    </row>
    <row r="8" spans="1:9" s="52" customFormat="1" ht="12.75" customHeight="1">
      <c r="A8" s="50" t="s">
        <v>221</v>
      </c>
      <c r="B8" s="50" t="s">
        <v>213</v>
      </c>
      <c r="C8" s="50" t="s">
        <v>157</v>
      </c>
      <c r="D8" s="50" t="s">
        <v>218</v>
      </c>
      <c r="E8" s="50" t="s">
        <v>215</v>
      </c>
      <c r="F8" s="50" t="s">
        <v>169</v>
      </c>
      <c r="G8" s="51">
        <v>38749</v>
      </c>
      <c r="H8" s="51">
        <v>40603</v>
      </c>
      <c r="I8" s="50" t="s">
        <v>223</v>
      </c>
    </row>
    <row r="9" spans="1:9" ht="12.75" customHeight="1">
      <c r="A9" s="39" t="s">
        <v>222</v>
      </c>
      <c r="B9" s="39" t="s">
        <v>213</v>
      </c>
      <c r="C9" s="39" t="s">
        <v>165</v>
      </c>
      <c r="D9" s="39" t="s">
        <v>214</v>
      </c>
      <c r="E9" s="39" t="s">
        <v>215</v>
      </c>
      <c r="F9" s="39" t="s">
        <v>169</v>
      </c>
      <c r="G9" s="40">
        <v>40330</v>
      </c>
      <c r="H9" s="40" t="s">
        <v>145</v>
      </c>
    </row>
    <row r="10" spans="1:9" s="52" customFormat="1" ht="12.75" customHeight="1">
      <c r="A10" s="50" t="s">
        <v>223</v>
      </c>
      <c r="B10" s="50" t="s">
        <v>213</v>
      </c>
      <c r="C10" s="50" t="s">
        <v>157</v>
      </c>
      <c r="D10" s="50" t="s">
        <v>218</v>
      </c>
      <c r="E10" s="50" t="s">
        <v>215</v>
      </c>
      <c r="F10" s="50" t="s">
        <v>169</v>
      </c>
      <c r="G10" s="51">
        <v>40330</v>
      </c>
      <c r="H10" s="51" t="s">
        <v>145</v>
      </c>
      <c r="I10" s="50"/>
    </row>
    <row r="12" spans="1:9" ht="12.75" customHeight="1">
      <c r="A12" s="45" t="s">
        <v>125</v>
      </c>
      <c r="B12" s="45" t="s">
        <v>126</v>
      </c>
      <c r="C12" s="45" t="s">
        <v>152</v>
      </c>
      <c r="D12" s="45" t="s">
        <v>153</v>
      </c>
      <c r="E12" s="45" t="s">
        <v>174</v>
      </c>
      <c r="F12" s="45" t="s">
        <v>129</v>
      </c>
      <c r="G12" s="46" t="s">
        <v>130</v>
      </c>
      <c r="H12" s="46" t="s">
        <v>131</v>
      </c>
      <c r="I12" s="45" t="s">
        <v>132</v>
      </c>
    </row>
    <row r="13" spans="1:9" ht="12.75" customHeight="1">
      <c r="A13" s="39" t="s">
        <v>224</v>
      </c>
      <c r="B13" s="39" t="s">
        <v>213</v>
      </c>
      <c r="C13" s="39" t="s">
        <v>165</v>
      </c>
      <c r="D13" s="39" t="s">
        <v>214</v>
      </c>
      <c r="E13" s="39" t="s">
        <v>225</v>
      </c>
      <c r="F13" s="39" t="s">
        <v>137</v>
      </c>
      <c r="G13" s="40">
        <v>38078</v>
      </c>
      <c r="H13" s="40">
        <v>38078</v>
      </c>
      <c r="I13" s="39" t="s">
        <v>226</v>
      </c>
    </row>
    <row r="14" spans="1:9" s="52" customFormat="1" ht="12.75" customHeight="1">
      <c r="A14" s="50" t="s">
        <v>227</v>
      </c>
      <c r="B14" s="50" t="s">
        <v>213</v>
      </c>
      <c r="C14" s="50" t="s">
        <v>157</v>
      </c>
      <c r="D14" s="50" t="s">
        <v>218</v>
      </c>
      <c r="E14" s="50" t="s">
        <v>225</v>
      </c>
      <c r="F14" s="50" t="s">
        <v>137</v>
      </c>
      <c r="G14" s="51">
        <v>38078</v>
      </c>
      <c r="H14" s="51">
        <v>38078</v>
      </c>
      <c r="I14" s="50" t="s">
        <v>228</v>
      </c>
    </row>
    <row r="15" spans="1:9" ht="12.75" customHeight="1">
      <c r="A15" s="39" t="s">
        <v>226</v>
      </c>
      <c r="B15" s="39" t="s">
        <v>213</v>
      </c>
      <c r="C15" s="39" t="s">
        <v>165</v>
      </c>
      <c r="D15" s="39" t="s">
        <v>214</v>
      </c>
      <c r="E15" s="39" t="s">
        <v>225</v>
      </c>
      <c r="F15" s="39" t="s">
        <v>137</v>
      </c>
      <c r="G15" s="40">
        <v>38565</v>
      </c>
      <c r="H15" s="40">
        <v>39417</v>
      </c>
      <c r="I15" s="39" t="s">
        <v>229</v>
      </c>
    </row>
    <row r="16" spans="1:9" s="52" customFormat="1" ht="12.75" customHeight="1">
      <c r="A16" s="50" t="s">
        <v>228</v>
      </c>
      <c r="B16" s="50" t="s">
        <v>213</v>
      </c>
      <c r="C16" s="50" t="s">
        <v>157</v>
      </c>
      <c r="D16" s="50" t="s">
        <v>218</v>
      </c>
      <c r="E16" s="50" t="s">
        <v>225</v>
      </c>
      <c r="F16" s="50" t="s">
        <v>137</v>
      </c>
      <c r="G16" s="51">
        <v>38565</v>
      </c>
      <c r="H16" s="51">
        <v>39417</v>
      </c>
      <c r="I16" s="50" t="s">
        <v>230</v>
      </c>
    </row>
    <row r="17" spans="1:9" ht="12.75" customHeight="1">
      <c r="A17" s="39" t="s">
        <v>229</v>
      </c>
      <c r="B17" s="39" t="s">
        <v>213</v>
      </c>
      <c r="C17" s="39" t="s">
        <v>165</v>
      </c>
      <c r="D17" s="39" t="s">
        <v>214</v>
      </c>
      <c r="E17" s="39" t="s">
        <v>225</v>
      </c>
      <c r="F17" s="39" t="s">
        <v>169</v>
      </c>
      <c r="G17" s="40">
        <v>38596</v>
      </c>
      <c r="H17" s="40" t="s">
        <v>145</v>
      </c>
    </row>
    <row r="18" spans="1:9" s="52" customFormat="1" ht="12.75" customHeight="1">
      <c r="A18" s="50" t="s">
        <v>230</v>
      </c>
      <c r="B18" s="50" t="s">
        <v>213</v>
      </c>
      <c r="C18" s="50" t="s">
        <v>157</v>
      </c>
      <c r="D18" s="50" t="s">
        <v>218</v>
      </c>
      <c r="E18" s="50" t="s">
        <v>225</v>
      </c>
      <c r="F18" s="50" t="s">
        <v>169</v>
      </c>
      <c r="G18" s="51">
        <v>38596</v>
      </c>
      <c r="H18" s="51" t="s">
        <v>145</v>
      </c>
      <c r="I18" s="5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65536"/>
  <sheetViews>
    <sheetView zoomScaleNormal="100" workbookViewId="0">
      <selection activeCell="B40" sqref="B40"/>
    </sheetView>
  </sheetViews>
  <sheetFormatPr defaultRowHeight="15"/>
  <cols>
    <col min="1" max="1" width="48.85546875" style="1"/>
    <col min="2" max="3" width="48.85546875" style="2"/>
    <col min="4" max="1025" width="8.5703125"/>
  </cols>
  <sheetData>
    <row r="1" spans="1:3" ht="15.75" customHeight="1">
      <c r="A1" s="3" t="s">
        <v>1</v>
      </c>
      <c r="B1" s="4" t="s">
        <v>2</v>
      </c>
      <c r="C1" s="5"/>
    </row>
    <row r="2" spans="1:3" ht="15" customHeight="1">
      <c r="A2" s="17" t="s">
        <v>42</v>
      </c>
      <c r="B2" s="18" t="s">
        <v>24</v>
      </c>
      <c r="C2" s="19" t="s">
        <v>25</v>
      </c>
    </row>
    <row r="3" spans="1:3" s="9" customFormat="1" ht="15" customHeight="1">
      <c r="A3" s="29" t="s">
        <v>62</v>
      </c>
      <c r="B3" s="7" t="s">
        <v>63</v>
      </c>
      <c r="C3" s="8" t="s">
        <v>64</v>
      </c>
    </row>
    <row r="4" spans="1:3" s="13" customFormat="1" ht="15" customHeight="1">
      <c r="A4" s="10" t="s">
        <v>65</v>
      </c>
      <c r="B4" s="11" t="s">
        <v>66</v>
      </c>
      <c r="C4" s="12" t="s">
        <v>67</v>
      </c>
    </row>
    <row r="5" spans="1:3" s="9" customFormat="1" ht="15" customHeight="1">
      <c r="A5" s="6" t="s">
        <v>68</v>
      </c>
      <c r="B5" s="7" t="s">
        <v>69</v>
      </c>
      <c r="C5" s="8" t="s">
        <v>70</v>
      </c>
    </row>
    <row r="6" spans="1:3" s="13" customFormat="1" ht="15" customHeight="1">
      <c r="A6" s="10" t="s">
        <v>71</v>
      </c>
      <c r="B6" s="11" t="s">
        <v>72</v>
      </c>
      <c r="C6" s="12" t="s">
        <v>73</v>
      </c>
    </row>
    <row r="7" spans="1:3" s="9" customFormat="1" ht="15" customHeight="1">
      <c r="A7" s="29" t="s">
        <v>74</v>
      </c>
      <c r="B7" s="30" t="s">
        <v>75</v>
      </c>
      <c r="C7" s="30" t="s">
        <v>76</v>
      </c>
    </row>
    <row r="8" spans="1:3" s="13" customFormat="1" ht="15" customHeight="1">
      <c r="A8" s="10" t="s">
        <v>77</v>
      </c>
      <c r="B8" s="11"/>
      <c r="C8" s="12" t="s">
        <v>78</v>
      </c>
    </row>
    <row r="9" spans="1:3" s="9" customFormat="1" ht="15" customHeight="1">
      <c r="A9" s="6" t="s">
        <v>79</v>
      </c>
      <c r="B9" s="7"/>
      <c r="C9" s="8" t="s">
        <v>80</v>
      </c>
    </row>
    <row r="10" spans="1:3" s="13" customFormat="1" ht="15" customHeight="1">
      <c r="A10" s="31" t="s">
        <v>81</v>
      </c>
      <c r="B10" s="32" t="s">
        <v>82</v>
      </c>
      <c r="C10" s="32" t="s">
        <v>83</v>
      </c>
    </row>
    <row r="11" spans="1:3" ht="15" customHeight="1">
      <c r="A11" s="29" t="s">
        <v>84</v>
      </c>
      <c r="B11" s="30" t="s">
        <v>85</v>
      </c>
      <c r="C11" s="30" t="s">
        <v>86</v>
      </c>
    </row>
    <row r="12" spans="1:3" s="13" customFormat="1" ht="15" customHeight="1">
      <c r="A12" s="31" t="s">
        <v>87</v>
      </c>
      <c r="B12" s="32" t="s">
        <v>88</v>
      </c>
      <c r="C12" s="32" t="s">
        <v>89</v>
      </c>
    </row>
    <row r="13" spans="1:3" s="13" customFormat="1" ht="15" customHeight="1">
      <c r="A13" s="6" t="s">
        <v>43</v>
      </c>
      <c r="B13" s="7" t="s">
        <v>44</v>
      </c>
      <c r="C13" s="8" t="s">
        <v>45</v>
      </c>
    </row>
    <row r="14" spans="1:3" s="13" customFormat="1" ht="15" customHeight="1">
      <c r="A14" s="10" t="s">
        <v>46</v>
      </c>
      <c r="B14" s="11" t="s">
        <v>47</v>
      </c>
      <c r="C14" s="12" t="s">
        <v>48</v>
      </c>
    </row>
    <row r="15" spans="1:3" s="13" customFormat="1" ht="15" customHeight="1">
      <c r="A15" s="6" t="s">
        <v>49</v>
      </c>
      <c r="B15" s="7" t="s">
        <v>50</v>
      </c>
      <c r="C15" s="8" t="s">
        <v>51</v>
      </c>
    </row>
    <row r="16" spans="1:3" s="13" customFormat="1" ht="15" customHeight="1">
      <c r="A16" s="10" t="s">
        <v>52</v>
      </c>
      <c r="B16" s="11" t="s">
        <v>53</v>
      </c>
      <c r="C16" s="12" t="s">
        <v>54</v>
      </c>
    </row>
    <row r="17" spans="1:3" s="13" customFormat="1" ht="15" customHeight="1">
      <c r="A17" s="29" t="s">
        <v>55</v>
      </c>
      <c r="B17" s="30" t="s">
        <v>56</v>
      </c>
      <c r="C17" s="30" t="s">
        <v>57</v>
      </c>
    </row>
    <row r="18" spans="1:3" s="13" customFormat="1" ht="15" customHeight="1">
      <c r="A18" s="31" t="s">
        <v>58</v>
      </c>
      <c r="B18" s="32" t="s">
        <v>59</v>
      </c>
      <c r="C18" s="32" t="s">
        <v>60</v>
      </c>
    </row>
    <row r="20" spans="1:3" ht="15.75" customHeight="1">
      <c r="A20" s="3" t="s">
        <v>1</v>
      </c>
      <c r="B20" s="4" t="s">
        <v>2</v>
      </c>
      <c r="C20" s="5"/>
    </row>
    <row r="21" spans="1:3" ht="15" customHeight="1">
      <c r="A21" s="17" t="s">
        <v>90</v>
      </c>
      <c r="B21" s="18" t="s">
        <v>24</v>
      </c>
      <c r="C21" s="19" t="s">
        <v>25</v>
      </c>
    </row>
    <row r="22" spans="1:3" s="9" customFormat="1" ht="15" customHeight="1">
      <c r="A22" s="29" t="s">
        <v>62</v>
      </c>
      <c r="B22" s="7" t="s">
        <v>100</v>
      </c>
      <c r="C22" s="8" t="s">
        <v>101</v>
      </c>
    </row>
    <row r="23" spans="1:3" s="13" customFormat="1" ht="15" customHeight="1">
      <c r="A23" s="10" t="s">
        <v>102</v>
      </c>
      <c r="B23" s="11" t="s">
        <v>103</v>
      </c>
      <c r="C23" s="12" t="s">
        <v>104</v>
      </c>
    </row>
    <row r="24" spans="1:3" s="9" customFormat="1" ht="15" customHeight="1">
      <c r="A24" s="6" t="s">
        <v>68</v>
      </c>
      <c r="B24" s="7" t="s">
        <v>105</v>
      </c>
      <c r="C24" s="8" t="s">
        <v>106</v>
      </c>
    </row>
    <row r="25" spans="1:3" s="13" customFormat="1" ht="15" customHeight="1">
      <c r="A25" s="10" t="s">
        <v>31</v>
      </c>
      <c r="B25" s="11" t="s">
        <v>107</v>
      </c>
      <c r="C25" s="12" t="s">
        <v>108</v>
      </c>
    </row>
    <row r="26" spans="1:3" s="9" customFormat="1" ht="15" customHeight="1">
      <c r="A26" s="29" t="s">
        <v>74</v>
      </c>
      <c r="B26" s="30" t="s">
        <v>109</v>
      </c>
      <c r="C26" s="30" t="s">
        <v>110</v>
      </c>
    </row>
    <row r="27" spans="1:3" s="13" customFormat="1" ht="15" customHeight="1">
      <c r="A27" s="10" t="s">
        <v>77</v>
      </c>
      <c r="B27" s="11"/>
      <c r="C27" s="12" t="s">
        <v>111</v>
      </c>
    </row>
    <row r="28" spans="1:3" s="9" customFormat="1" ht="15" customHeight="1">
      <c r="A28" s="6" t="s">
        <v>112</v>
      </c>
      <c r="B28" s="7"/>
      <c r="C28" s="8" t="s">
        <v>113</v>
      </c>
    </row>
    <row r="29" spans="1:3" s="13" customFormat="1" ht="15" customHeight="1">
      <c r="A29" s="31" t="s">
        <v>81</v>
      </c>
      <c r="B29" s="32" t="s">
        <v>114</v>
      </c>
      <c r="C29" s="32" t="s">
        <v>115</v>
      </c>
    </row>
    <row r="30" spans="1:3" ht="15" customHeight="1">
      <c r="A30" s="29" t="s">
        <v>84</v>
      </c>
      <c r="B30" s="30" t="s">
        <v>116</v>
      </c>
      <c r="C30" s="30" t="s">
        <v>117</v>
      </c>
    </row>
    <row r="31" spans="1:3" s="13" customFormat="1" ht="15" customHeight="1">
      <c r="A31" s="31" t="s">
        <v>87</v>
      </c>
      <c r="B31" s="32" t="s">
        <v>118</v>
      </c>
      <c r="C31" s="32" t="s">
        <v>119</v>
      </c>
    </row>
    <row r="32" spans="1:3" s="9" customFormat="1" ht="15" customHeight="1">
      <c r="A32" s="6" t="s">
        <v>43</v>
      </c>
      <c r="B32" s="7" t="s">
        <v>47</v>
      </c>
      <c r="C32" s="8" t="s">
        <v>48</v>
      </c>
    </row>
    <row r="33" spans="1:3" s="13" customFormat="1" ht="15" customHeight="1">
      <c r="A33" s="10" t="s">
        <v>46</v>
      </c>
      <c r="B33" s="11" t="s">
        <v>91</v>
      </c>
      <c r="C33" s="12" t="s">
        <v>92</v>
      </c>
    </row>
    <row r="34" spans="1:3" s="9" customFormat="1" ht="15" customHeight="1">
      <c r="A34" s="6" t="s">
        <v>49</v>
      </c>
      <c r="B34" s="7" t="s">
        <v>93</v>
      </c>
      <c r="C34" s="8" t="s">
        <v>94</v>
      </c>
    </row>
    <row r="35" spans="1:3" s="13" customFormat="1" ht="15" customHeight="1">
      <c r="A35" s="10" t="s">
        <v>52</v>
      </c>
      <c r="B35" s="11" t="s">
        <v>95</v>
      </c>
      <c r="C35" s="12" t="s">
        <v>96</v>
      </c>
    </row>
    <row r="36" spans="1:3" s="9" customFormat="1" ht="15" customHeight="1">
      <c r="A36" s="60" t="s">
        <v>55</v>
      </c>
      <c r="B36" s="61" t="s">
        <v>97</v>
      </c>
      <c r="C36" s="61" t="s">
        <v>98</v>
      </c>
    </row>
    <row r="37" spans="1:3" s="13" customFormat="1" ht="15" customHeight="1">
      <c r="A37" s="62" t="s">
        <v>58</v>
      </c>
      <c r="B37" s="63" t="s">
        <v>97</v>
      </c>
      <c r="C37" s="63" t="s">
        <v>98</v>
      </c>
    </row>
    <row r="65536" ht="1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K39"/>
  <sheetViews>
    <sheetView zoomScaleNormal="100" workbookViewId="0">
      <selection activeCell="A8" sqref="A8:H11"/>
    </sheetView>
  </sheetViews>
  <sheetFormatPr defaultRowHeight="15"/>
  <cols>
    <col min="1" max="1" width="15.5703125" style="39"/>
    <col min="2" max="2" width="35.85546875" style="39"/>
    <col min="3" max="4" width="8.42578125" style="39"/>
    <col min="5" max="5" width="23.5703125" style="39"/>
    <col min="6" max="6" width="15.85546875" style="40"/>
    <col min="7" max="7" width="15" style="40"/>
    <col min="8" max="8" width="14.28515625" style="39"/>
    <col min="9" max="9" width="15" style="41" bestFit="1" customWidth="1"/>
    <col min="10" max="1025" width="9.140625" style="41"/>
  </cols>
  <sheetData>
    <row r="1" spans="1:9" s="44" customFormat="1" ht="18" customHeight="1">
      <c r="A1" s="42"/>
      <c r="B1" s="42" t="s">
        <v>124</v>
      </c>
      <c r="C1" s="42"/>
      <c r="D1" s="42"/>
      <c r="E1" s="42"/>
      <c r="F1" s="43"/>
      <c r="G1" s="43"/>
      <c r="H1" s="42"/>
    </row>
    <row r="2" spans="1:9" ht="12.75" customHeight="1">
      <c r="A2" s="45" t="s">
        <v>125</v>
      </c>
      <c r="B2" s="45" t="s">
        <v>126</v>
      </c>
      <c r="C2" s="45" t="s">
        <v>127</v>
      </c>
      <c r="D2" s="45" t="s">
        <v>128</v>
      </c>
      <c r="E2" s="45" t="s">
        <v>129</v>
      </c>
      <c r="F2" s="46" t="s">
        <v>130</v>
      </c>
      <c r="G2" s="46" t="s">
        <v>131</v>
      </c>
      <c r="H2" s="45" t="s">
        <v>132</v>
      </c>
    </row>
    <row r="3" spans="1:9" s="49" customFormat="1" ht="12.75" customHeight="1">
      <c r="A3" s="47" t="s">
        <v>133</v>
      </c>
      <c r="B3" s="47" t="s">
        <v>134</v>
      </c>
      <c r="C3" s="47" t="s">
        <v>135</v>
      </c>
      <c r="D3" s="47" t="s">
        <v>136</v>
      </c>
      <c r="E3" s="47" t="s">
        <v>137</v>
      </c>
      <c r="F3" s="48">
        <v>38078</v>
      </c>
      <c r="G3" s="48">
        <v>39356</v>
      </c>
      <c r="H3" s="47" t="s">
        <v>138</v>
      </c>
    </row>
    <row r="4" spans="1:9" s="52" customFormat="1" ht="12.75" customHeight="1">
      <c r="A4" s="50" t="s">
        <v>138</v>
      </c>
      <c r="B4" s="50" t="s">
        <v>134</v>
      </c>
      <c r="C4" s="50" t="s">
        <v>135</v>
      </c>
      <c r="D4" s="50" t="s">
        <v>136</v>
      </c>
      <c r="E4" s="50" t="s">
        <v>137</v>
      </c>
      <c r="F4" s="51">
        <v>38231</v>
      </c>
      <c r="G4" s="51">
        <v>39814</v>
      </c>
      <c r="H4" s="50" t="s">
        <v>139</v>
      </c>
    </row>
    <row r="5" spans="1:9" s="49" customFormat="1" ht="12.75" customHeight="1">
      <c r="A5" s="47" t="s">
        <v>139</v>
      </c>
      <c r="B5" s="47" t="s">
        <v>134</v>
      </c>
      <c r="C5" s="47" t="s">
        <v>140</v>
      </c>
      <c r="D5" s="47" t="s">
        <v>141</v>
      </c>
      <c r="E5" s="47" t="s">
        <v>137</v>
      </c>
      <c r="F5" s="48">
        <v>39539</v>
      </c>
      <c r="G5" s="48">
        <v>39814</v>
      </c>
      <c r="H5" s="47" t="s">
        <v>142</v>
      </c>
    </row>
    <row r="6" spans="1:9" s="52" customFormat="1" ht="12.75" customHeight="1">
      <c r="A6" s="50" t="s">
        <v>142</v>
      </c>
      <c r="B6" s="50" t="s">
        <v>134</v>
      </c>
      <c r="C6" s="50" t="s">
        <v>143</v>
      </c>
      <c r="D6" s="50" t="s">
        <v>144</v>
      </c>
      <c r="E6" s="50" t="s">
        <v>137</v>
      </c>
      <c r="F6" s="51">
        <v>39814</v>
      </c>
      <c r="G6" s="51" t="s">
        <v>145</v>
      </c>
      <c r="H6" s="50"/>
    </row>
    <row r="8" spans="1:9" ht="12.75" customHeight="1">
      <c r="A8" s="45" t="s">
        <v>125</v>
      </c>
      <c r="B8" s="45" t="s">
        <v>126</v>
      </c>
      <c r="C8" s="45" t="s">
        <v>127</v>
      </c>
      <c r="D8" s="45" t="s">
        <v>128</v>
      </c>
      <c r="E8" s="45" t="s">
        <v>129</v>
      </c>
      <c r="F8" s="46" t="s">
        <v>130</v>
      </c>
      <c r="G8" s="46" t="s">
        <v>131</v>
      </c>
      <c r="H8" s="45" t="s">
        <v>132</v>
      </c>
    </row>
    <row r="9" spans="1:9" s="49" customFormat="1" ht="12.75" customHeight="1">
      <c r="A9" s="47" t="s">
        <v>146</v>
      </c>
      <c r="B9" s="47" t="s">
        <v>134</v>
      </c>
      <c r="C9" s="47" t="s">
        <v>140</v>
      </c>
      <c r="D9" s="47" t="s">
        <v>141</v>
      </c>
      <c r="E9" s="47" t="s">
        <v>2</v>
      </c>
      <c r="F9" s="48">
        <v>39234</v>
      </c>
      <c r="G9" s="48">
        <v>39569</v>
      </c>
      <c r="H9" s="47" t="s">
        <v>147</v>
      </c>
    </row>
    <row r="10" spans="1:9" s="52" customFormat="1" ht="12.75" customHeight="1">
      <c r="A10" s="50" t="s">
        <v>147</v>
      </c>
      <c r="B10" s="50" t="s">
        <v>134</v>
      </c>
      <c r="C10" s="50" t="s">
        <v>148</v>
      </c>
      <c r="D10" s="50" t="s">
        <v>149</v>
      </c>
      <c r="E10" s="50" t="s">
        <v>2</v>
      </c>
      <c r="F10" s="51">
        <v>39448</v>
      </c>
      <c r="G10" s="51">
        <v>39845</v>
      </c>
      <c r="H10" s="50" t="s">
        <v>150</v>
      </c>
    </row>
    <row r="11" spans="1:9" ht="12.75" customHeight="1">
      <c r="A11" s="39" t="s">
        <v>150</v>
      </c>
      <c r="B11" s="39" t="s">
        <v>134</v>
      </c>
      <c r="C11" s="39" t="s">
        <v>143</v>
      </c>
      <c r="D11" s="39" t="s">
        <v>144</v>
      </c>
      <c r="E11" s="39" t="s">
        <v>2</v>
      </c>
      <c r="F11" s="40">
        <v>39814</v>
      </c>
      <c r="G11" s="40" t="s">
        <v>145</v>
      </c>
    </row>
    <row r="16" spans="1:9" ht="18">
      <c r="A16" s="42"/>
      <c r="B16" s="42" t="s">
        <v>151</v>
      </c>
      <c r="C16" s="42"/>
      <c r="D16" s="42"/>
      <c r="E16" s="42"/>
      <c r="F16" s="42"/>
      <c r="G16" s="43"/>
      <c r="H16" s="43"/>
      <c r="I16" s="42"/>
    </row>
    <row r="17" spans="1:9">
      <c r="A17" s="45" t="s">
        <v>125</v>
      </c>
      <c r="B17" s="45" t="s">
        <v>126</v>
      </c>
      <c r="C17" s="45" t="s">
        <v>152</v>
      </c>
      <c r="D17" s="45" t="s">
        <v>153</v>
      </c>
      <c r="E17" s="45" t="s">
        <v>154</v>
      </c>
      <c r="F17" s="45" t="s">
        <v>129</v>
      </c>
      <c r="G17" s="46" t="s">
        <v>130</v>
      </c>
      <c r="H17" s="46" t="s">
        <v>131</v>
      </c>
      <c r="I17" s="45" t="s">
        <v>132</v>
      </c>
    </row>
    <row r="18" spans="1:9">
      <c r="A18" s="47" t="s">
        <v>155</v>
      </c>
      <c r="B18" s="47" t="s">
        <v>156</v>
      </c>
      <c r="C18" s="47" t="s">
        <v>157</v>
      </c>
      <c r="D18" s="47" t="s">
        <v>158</v>
      </c>
      <c r="E18" s="47" t="s">
        <v>159</v>
      </c>
      <c r="F18" s="47" t="s">
        <v>137</v>
      </c>
      <c r="G18" s="48">
        <v>38231</v>
      </c>
      <c r="H18" s="48">
        <v>39479</v>
      </c>
      <c r="I18" s="47" t="s">
        <v>160</v>
      </c>
    </row>
    <row r="19" spans="1:9">
      <c r="A19" s="47" t="s">
        <v>161</v>
      </c>
      <c r="B19" s="47" t="s">
        <v>162</v>
      </c>
      <c r="C19" s="47" t="s">
        <v>157</v>
      </c>
      <c r="D19" s="47" t="s">
        <v>158</v>
      </c>
      <c r="E19" s="47" t="s">
        <v>159</v>
      </c>
      <c r="F19" s="47" t="s">
        <v>137</v>
      </c>
      <c r="G19" s="48">
        <v>38231</v>
      </c>
      <c r="H19" s="48">
        <v>39479</v>
      </c>
      <c r="I19" s="47" t="s">
        <v>163</v>
      </c>
    </row>
    <row r="20" spans="1:9">
      <c r="A20" s="47" t="s">
        <v>164</v>
      </c>
      <c r="B20" s="47" t="s">
        <v>156</v>
      </c>
      <c r="C20" s="47" t="s">
        <v>165</v>
      </c>
      <c r="D20" s="47" t="s">
        <v>158</v>
      </c>
      <c r="E20" s="47" t="s">
        <v>159</v>
      </c>
      <c r="F20" s="47" t="s">
        <v>137</v>
      </c>
      <c r="G20" s="48">
        <v>38231</v>
      </c>
      <c r="H20" s="48">
        <v>39479</v>
      </c>
      <c r="I20" s="47" t="s">
        <v>166</v>
      </c>
    </row>
    <row r="21" spans="1:9">
      <c r="A21" s="47" t="s">
        <v>167</v>
      </c>
      <c r="B21" s="47" t="s">
        <v>162</v>
      </c>
      <c r="C21" s="47" t="s">
        <v>165</v>
      </c>
      <c r="D21" s="47" t="s">
        <v>158</v>
      </c>
      <c r="E21" s="47" t="s">
        <v>159</v>
      </c>
      <c r="F21" s="47" t="s">
        <v>137</v>
      </c>
      <c r="G21" s="48">
        <v>38231</v>
      </c>
      <c r="H21" s="48">
        <v>39479</v>
      </c>
      <c r="I21" s="47" t="s">
        <v>168</v>
      </c>
    </row>
    <row r="22" spans="1:9">
      <c r="A22" s="47" t="s">
        <v>160</v>
      </c>
      <c r="B22" s="47" t="s">
        <v>156</v>
      </c>
      <c r="C22" s="47" t="s">
        <v>157</v>
      </c>
      <c r="D22" s="47" t="s">
        <v>158</v>
      </c>
      <c r="E22" s="47" t="s">
        <v>159</v>
      </c>
      <c r="F22" s="47" t="s">
        <v>169</v>
      </c>
      <c r="G22" s="48">
        <v>39326</v>
      </c>
      <c r="H22" s="48">
        <v>40725</v>
      </c>
      <c r="I22" s="47" t="s">
        <v>170</v>
      </c>
    </row>
    <row r="23" spans="1:9">
      <c r="A23" s="47" t="s">
        <v>163</v>
      </c>
      <c r="B23" s="47" t="s">
        <v>162</v>
      </c>
      <c r="C23" s="47" t="s">
        <v>157</v>
      </c>
      <c r="D23" s="47" t="s">
        <v>158</v>
      </c>
      <c r="E23" s="47" t="s">
        <v>159</v>
      </c>
      <c r="F23" s="47" t="s">
        <v>169</v>
      </c>
      <c r="G23" s="48">
        <v>39326</v>
      </c>
      <c r="H23" s="48">
        <v>39783</v>
      </c>
      <c r="I23" s="47" t="s">
        <v>171</v>
      </c>
    </row>
    <row r="24" spans="1:9">
      <c r="A24" s="47" t="s">
        <v>166</v>
      </c>
      <c r="B24" s="47" t="s">
        <v>156</v>
      </c>
      <c r="C24" s="47" t="s">
        <v>165</v>
      </c>
      <c r="D24" s="47" t="s">
        <v>158</v>
      </c>
      <c r="E24" s="47" t="s">
        <v>159</v>
      </c>
      <c r="F24" s="47" t="s">
        <v>169</v>
      </c>
      <c r="G24" s="48">
        <v>39326</v>
      </c>
      <c r="H24" s="48">
        <v>40634</v>
      </c>
      <c r="I24" s="47" t="s">
        <v>172</v>
      </c>
    </row>
    <row r="25" spans="1:9">
      <c r="A25" s="47" t="s">
        <v>168</v>
      </c>
      <c r="B25" s="47" t="s">
        <v>162</v>
      </c>
      <c r="C25" s="47" t="s">
        <v>165</v>
      </c>
      <c r="D25" s="47" t="s">
        <v>158</v>
      </c>
      <c r="E25" s="47" t="s">
        <v>159</v>
      </c>
      <c r="F25" s="47" t="s">
        <v>169</v>
      </c>
      <c r="G25" s="48">
        <v>39326</v>
      </c>
      <c r="H25" s="48">
        <v>39814</v>
      </c>
      <c r="I25" s="47" t="s">
        <v>173</v>
      </c>
    </row>
    <row r="26" spans="1:9">
      <c r="A26" s="47" t="s">
        <v>170</v>
      </c>
      <c r="B26" s="47" t="s">
        <v>156</v>
      </c>
      <c r="C26" s="47" t="s">
        <v>157</v>
      </c>
      <c r="D26" s="47" t="s">
        <v>158</v>
      </c>
      <c r="E26" s="47" t="s">
        <v>159</v>
      </c>
      <c r="F26" s="47" t="s">
        <v>169</v>
      </c>
      <c r="G26" s="48">
        <v>39753</v>
      </c>
      <c r="H26" s="48" t="s">
        <v>145</v>
      </c>
      <c r="I26" s="47"/>
    </row>
    <row r="27" spans="1:9">
      <c r="A27" s="47" t="s">
        <v>171</v>
      </c>
      <c r="B27" s="47" t="s">
        <v>162</v>
      </c>
      <c r="C27" s="47" t="s">
        <v>157</v>
      </c>
      <c r="D27" s="47" t="s">
        <v>158</v>
      </c>
      <c r="E27" s="47" t="s">
        <v>159</v>
      </c>
      <c r="F27" s="47" t="s">
        <v>169</v>
      </c>
      <c r="G27" s="48">
        <v>39783</v>
      </c>
      <c r="H27" s="48" t="s">
        <v>145</v>
      </c>
      <c r="I27" s="47"/>
    </row>
    <row r="28" spans="1:9">
      <c r="A28" s="47" t="s">
        <v>172</v>
      </c>
      <c r="B28" s="47" t="s">
        <v>156</v>
      </c>
      <c r="C28" s="47" t="s">
        <v>165</v>
      </c>
      <c r="D28" s="47" t="s">
        <v>158</v>
      </c>
      <c r="E28" s="47" t="s">
        <v>159</v>
      </c>
      <c r="F28" s="47" t="s">
        <v>169</v>
      </c>
      <c r="G28" s="48">
        <v>39753</v>
      </c>
      <c r="H28" s="48" t="s">
        <v>145</v>
      </c>
      <c r="I28" s="47"/>
    </row>
    <row r="29" spans="1:9">
      <c r="A29" s="47" t="s">
        <v>173</v>
      </c>
      <c r="B29" s="47" t="s">
        <v>162</v>
      </c>
      <c r="C29" s="47" t="s">
        <v>165</v>
      </c>
      <c r="D29" s="47" t="s">
        <v>158</v>
      </c>
      <c r="E29" s="47" t="s">
        <v>159</v>
      </c>
      <c r="F29" s="47" t="s">
        <v>169</v>
      </c>
      <c r="G29" s="48">
        <v>39753</v>
      </c>
      <c r="H29" s="48" t="s">
        <v>145</v>
      </c>
      <c r="I29" s="47"/>
    </row>
    <row r="30" spans="1:9">
      <c r="A30" s="47"/>
      <c r="B30" s="47"/>
      <c r="C30" s="47"/>
      <c r="D30" s="47"/>
      <c r="E30" s="47"/>
      <c r="F30" s="47"/>
      <c r="G30" s="48"/>
      <c r="H30" s="48"/>
      <c r="I30" s="47"/>
    </row>
    <row r="31" spans="1:9">
      <c r="A31" s="47"/>
      <c r="B31" s="47"/>
      <c r="C31" s="47"/>
      <c r="D31" s="47"/>
      <c r="E31" s="47"/>
      <c r="F31" s="47"/>
      <c r="G31" s="48"/>
      <c r="H31" s="48"/>
      <c r="I31" s="47"/>
    </row>
    <row r="32" spans="1:9">
      <c r="A32" s="45" t="s">
        <v>125</v>
      </c>
      <c r="B32" s="45" t="s">
        <v>126</v>
      </c>
      <c r="C32" s="45" t="s">
        <v>152</v>
      </c>
      <c r="D32" s="45" t="s">
        <v>153</v>
      </c>
      <c r="E32" s="45" t="s">
        <v>174</v>
      </c>
      <c r="F32" s="45" t="s">
        <v>129</v>
      </c>
      <c r="G32" s="46" t="s">
        <v>130</v>
      </c>
      <c r="H32" s="46" t="s">
        <v>131</v>
      </c>
      <c r="I32" s="45" t="s">
        <v>132</v>
      </c>
    </row>
    <row r="35" spans="1:9">
      <c r="A35" s="45" t="s">
        <v>125</v>
      </c>
      <c r="B35" s="45" t="s">
        <v>126</v>
      </c>
      <c r="C35" s="100" t="s">
        <v>152</v>
      </c>
      <c r="D35" s="101"/>
      <c r="E35" s="45" t="s">
        <v>153</v>
      </c>
      <c r="F35" s="45" t="s">
        <v>154</v>
      </c>
      <c r="G35" s="45" t="s">
        <v>129</v>
      </c>
      <c r="H35" s="46"/>
      <c r="I35" s="45"/>
    </row>
    <row r="36" spans="1:9">
      <c r="A36" s="47" t="s">
        <v>170</v>
      </c>
      <c r="B36" s="47" t="s">
        <v>156</v>
      </c>
      <c r="C36" s="65" t="s">
        <v>268</v>
      </c>
      <c r="D36" s="39" t="s">
        <v>157</v>
      </c>
      <c r="E36" s="47" t="s">
        <v>158</v>
      </c>
      <c r="F36" s="47" t="s">
        <v>159</v>
      </c>
      <c r="G36" s="47" t="s">
        <v>169</v>
      </c>
      <c r="H36" s="48"/>
      <c r="I36" s="47"/>
    </row>
    <row r="37" spans="1:9">
      <c r="A37" s="47" t="s">
        <v>172</v>
      </c>
      <c r="B37" s="47" t="s">
        <v>156</v>
      </c>
      <c r="C37" s="66" t="s">
        <v>268</v>
      </c>
      <c r="D37" s="39" t="s">
        <v>165</v>
      </c>
      <c r="E37" s="47" t="s">
        <v>158</v>
      </c>
      <c r="F37" s="47" t="s">
        <v>159</v>
      </c>
      <c r="G37" s="47" t="s">
        <v>169</v>
      </c>
      <c r="H37" s="48"/>
      <c r="I37" s="47"/>
    </row>
    <row r="38" spans="1:9">
      <c r="A38" s="47" t="s">
        <v>171</v>
      </c>
      <c r="B38" s="47" t="s">
        <v>162</v>
      </c>
      <c r="C38" s="67">
        <v>5</v>
      </c>
      <c r="D38" s="39" t="s">
        <v>157</v>
      </c>
      <c r="E38" s="47" t="s">
        <v>158</v>
      </c>
      <c r="F38" s="47" t="s">
        <v>159</v>
      </c>
      <c r="G38" s="47" t="s">
        <v>169</v>
      </c>
      <c r="H38" s="48"/>
      <c r="I38" s="47"/>
    </row>
    <row r="39" spans="1:9">
      <c r="A39" s="47" t="s">
        <v>173</v>
      </c>
      <c r="B39" s="47" t="s">
        <v>162</v>
      </c>
      <c r="C39" s="67">
        <v>5</v>
      </c>
      <c r="D39" s="39" t="s">
        <v>165</v>
      </c>
      <c r="E39" s="47" t="s">
        <v>158</v>
      </c>
      <c r="F39" s="47" t="s">
        <v>159</v>
      </c>
      <c r="G39" s="47" t="s">
        <v>169</v>
      </c>
      <c r="H39" s="48"/>
      <c r="I39" s="47"/>
    </row>
  </sheetData>
  <mergeCells count="1">
    <mergeCell ref="C35:D3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25"/>
  <sheetViews>
    <sheetView workbookViewId="0">
      <selection activeCell="A22" sqref="A22:C25"/>
    </sheetView>
  </sheetViews>
  <sheetFormatPr defaultRowHeight="15"/>
  <cols>
    <col min="1" max="1" width="9.140625" style="88"/>
    <col min="2" max="2" width="14.42578125" bestFit="1" customWidth="1"/>
    <col min="3" max="3" width="35.85546875" bestFit="1" customWidth="1"/>
  </cols>
  <sheetData>
    <row r="1" spans="1:3">
      <c r="A1" s="90" t="s">
        <v>368</v>
      </c>
    </row>
    <row r="3" spans="1:3">
      <c r="A3" s="91" t="s">
        <v>369</v>
      </c>
      <c r="B3" s="92" t="s">
        <v>370</v>
      </c>
      <c r="C3" s="92" t="s">
        <v>126</v>
      </c>
    </row>
    <row r="4" spans="1:3">
      <c r="A4" s="91">
        <v>5</v>
      </c>
      <c r="B4" s="93" t="s">
        <v>371</v>
      </c>
      <c r="C4" s="93" t="s">
        <v>372</v>
      </c>
    </row>
    <row r="5" spans="1:3">
      <c r="A5" s="91">
        <v>3</v>
      </c>
      <c r="B5" s="93" t="s">
        <v>373</v>
      </c>
      <c r="C5" s="93" t="s">
        <v>376</v>
      </c>
    </row>
    <row r="6" spans="1:3">
      <c r="A6" s="91">
        <v>6</v>
      </c>
      <c r="B6" s="93" t="s">
        <v>374</v>
      </c>
      <c r="C6" s="93" t="s">
        <v>377</v>
      </c>
    </row>
    <row r="7" spans="1:3">
      <c r="A7" s="91">
        <v>2</v>
      </c>
      <c r="B7" s="93" t="s">
        <v>375</v>
      </c>
      <c r="C7" s="93" t="s">
        <v>378</v>
      </c>
    </row>
    <row r="8" spans="1:3">
      <c r="A8" s="91">
        <v>1</v>
      </c>
      <c r="B8" s="93" t="s">
        <v>383</v>
      </c>
      <c r="C8" s="93" t="s">
        <v>379</v>
      </c>
    </row>
    <row r="9" spans="1:3">
      <c r="A9" s="91">
        <v>1</v>
      </c>
      <c r="B9" s="93" t="s">
        <v>384</v>
      </c>
      <c r="C9" s="93" t="s">
        <v>380</v>
      </c>
    </row>
    <row r="10" spans="1:3">
      <c r="A10" s="91">
        <v>1</v>
      </c>
      <c r="B10" s="93" t="s">
        <v>385</v>
      </c>
      <c r="C10" s="93" t="s">
        <v>381</v>
      </c>
    </row>
    <row r="11" spans="1:3">
      <c r="A11" s="91">
        <v>1</v>
      </c>
      <c r="B11" s="93" t="s">
        <v>386</v>
      </c>
      <c r="C11" s="93" t="s">
        <v>382</v>
      </c>
    </row>
    <row r="12" spans="1:3">
      <c r="A12" s="91">
        <v>2</v>
      </c>
      <c r="B12" s="93" t="s">
        <v>387</v>
      </c>
      <c r="C12" s="93" t="s">
        <v>392</v>
      </c>
    </row>
    <row r="13" spans="1:3">
      <c r="A13" s="91">
        <v>1</v>
      </c>
      <c r="B13" s="93" t="s">
        <v>388</v>
      </c>
      <c r="C13" s="93" t="s">
        <v>393</v>
      </c>
    </row>
    <row r="14" spans="1:3">
      <c r="A14" s="91">
        <v>1</v>
      </c>
      <c r="B14" s="93" t="s">
        <v>389</v>
      </c>
      <c r="C14" s="93" t="s">
        <v>394</v>
      </c>
    </row>
    <row r="15" spans="1:3">
      <c r="A15" s="91">
        <v>4</v>
      </c>
      <c r="B15" s="93" t="s">
        <v>398</v>
      </c>
      <c r="C15" s="93" t="s">
        <v>395</v>
      </c>
    </row>
    <row r="16" spans="1:3">
      <c r="A16" s="91">
        <v>1</v>
      </c>
      <c r="B16" s="93" t="s">
        <v>390</v>
      </c>
      <c r="C16" s="93" t="s">
        <v>396</v>
      </c>
    </row>
    <row r="17" spans="1:3">
      <c r="A17" s="91">
        <v>20</v>
      </c>
      <c r="B17" s="94" t="s">
        <v>391</v>
      </c>
      <c r="C17" s="93" t="s">
        <v>397</v>
      </c>
    </row>
    <row r="21" spans="1:3">
      <c r="A21" s="90" t="s">
        <v>442</v>
      </c>
    </row>
    <row r="22" spans="1:3" s="9" customFormat="1">
      <c r="A22" s="91">
        <v>1</v>
      </c>
      <c r="B22" s="93" t="s">
        <v>383</v>
      </c>
      <c r="C22" s="93" t="s">
        <v>379</v>
      </c>
    </row>
    <row r="23" spans="1:3" s="9" customFormat="1">
      <c r="A23" s="91">
        <v>1</v>
      </c>
      <c r="B23" s="93" t="s">
        <v>443</v>
      </c>
      <c r="C23" s="93" t="s">
        <v>381</v>
      </c>
    </row>
    <row r="24" spans="1:3">
      <c r="A24" s="88">
        <v>1</v>
      </c>
      <c r="B24" t="s">
        <v>444</v>
      </c>
      <c r="C24" s="93" t="s">
        <v>393</v>
      </c>
    </row>
    <row r="25" spans="1:3">
      <c r="A25" s="88">
        <v>16</v>
      </c>
      <c r="B25" s="94" t="s">
        <v>391</v>
      </c>
      <c r="C25" s="93" t="s">
        <v>397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9"/>
  <sheetViews>
    <sheetView workbookViewId="0">
      <selection activeCell="C17" sqref="C17"/>
    </sheetView>
  </sheetViews>
  <sheetFormatPr defaultRowHeight="15"/>
  <cols>
    <col min="1" max="1" width="26.42578125" style="96" bestFit="1" customWidth="1"/>
    <col min="2" max="10" width="12.7109375" customWidth="1"/>
  </cols>
  <sheetData>
    <row r="1" spans="1:12">
      <c r="A1" s="96" t="s">
        <v>1</v>
      </c>
      <c r="B1" s="97" t="s">
        <v>425</v>
      </c>
      <c r="C1" s="97" t="s">
        <v>426</v>
      </c>
      <c r="D1" s="97" t="s">
        <v>427</v>
      </c>
      <c r="E1" s="97" t="s">
        <v>441</v>
      </c>
      <c r="F1" s="97" t="s">
        <v>428</v>
      </c>
      <c r="G1" s="97" t="s">
        <v>429</v>
      </c>
      <c r="H1" s="97" t="s">
        <v>430</v>
      </c>
      <c r="I1" s="97" t="s">
        <v>431</v>
      </c>
      <c r="J1" s="97" t="s">
        <v>432</v>
      </c>
    </row>
    <row r="2" spans="1:12">
      <c r="A2" s="96" t="s">
        <v>433</v>
      </c>
      <c r="B2">
        <v>320</v>
      </c>
      <c r="C2">
        <v>238</v>
      </c>
      <c r="D2">
        <v>7200</v>
      </c>
      <c r="E2" s="84">
        <v>43.7</v>
      </c>
      <c r="F2" s="84">
        <f t="shared" ref="F2:F9" si="0">E2/2</f>
        <v>21.85</v>
      </c>
      <c r="G2" s="84">
        <v>18.2</v>
      </c>
      <c r="H2" s="84">
        <f t="shared" ref="H2:H9" si="1">2*PI()*F2*G2</f>
        <v>2498.6343011061062</v>
      </c>
      <c r="I2" s="84">
        <f t="shared" ref="I2:J9" si="2">1000*B2/(2*PI()*$F2*$G2)</f>
        <v>128.06996200217895</v>
      </c>
      <c r="J2" s="84">
        <f t="shared" si="2"/>
        <v>95.252034239120604</v>
      </c>
    </row>
    <row r="3" spans="1:12">
      <c r="A3" s="96" t="s">
        <v>440</v>
      </c>
      <c r="B3">
        <v>343</v>
      </c>
      <c r="C3">
        <v>269</v>
      </c>
      <c r="D3">
        <v>8000</v>
      </c>
      <c r="E3" s="84">
        <v>49</v>
      </c>
      <c r="F3" s="84">
        <f t="shared" si="0"/>
        <v>24.5</v>
      </c>
      <c r="G3" s="84">
        <v>17.37</v>
      </c>
      <c r="H3" s="84">
        <f t="shared" si="1"/>
        <v>2673.9037552498808</v>
      </c>
      <c r="I3" s="84">
        <f t="shared" si="2"/>
        <v>128.27686835270782</v>
      </c>
      <c r="J3" s="84">
        <f t="shared" si="2"/>
        <v>100.60197547194869</v>
      </c>
      <c r="L3" s="9"/>
    </row>
    <row r="4" spans="1:12">
      <c r="A4" s="96" t="s">
        <v>434</v>
      </c>
      <c r="B4">
        <v>414</v>
      </c>
      <c r="C4">
        <v>300</v>
      </c>
      <c r="D4">
        <v>8400</v>
      </c>
      <c r="E4" s="84">
        <v>52</v>
      </c>
      <c r="F4" s="84">
        <f t="shared" si="0"/>
        <v>26</v>
      </c>
      <c r="G4" s="84">
        <v>15.83</v>
      </c>
      <c r="H4" s="84">
        <f t="shared" si="1"/>
        <v>2586.0334087289743</v>
      </c>
      <c r="I4" s="84">
        <f t="shared" si="2"/>
        <v>160.09073920026401</v>
      </c>
      <c r="J4" s="84">
        <f t="shared" si="2"/>
        <v>116.00778202917682</v>
      </c>
      <c r="L4" s="9"/>
    </row>
    <row r="5" spans="1:12">
      <c r="A5" s="96" t="s">
        <v>435</v>
      </c>
      <c r="B5">
        <v>661</v>
      </c>
      <c r="C5">
        <v>487</v>
      </c>
      <c r="D5">
        <v>8000</v>
      </c>
      <c r="E5" s="84">
        <v>44.5</v>
      </c>
      <c r="F5" s="84">
        <f t="shared" si="0"/>
        <v>22.25</v>
      </c>
      <c r="G5" s="84">
        <v>26</v>
      </c>
      <c r="H5" s="84">
        <f t="shared" si="1"/>
        <v>3634.8227002033909</v>
      </c>
      <c r="I5" s="84">
        <f t="shared" si="2"/>
        <v>181.85206116463752</v>
      </c>
      <c r="J5" s="84">
        <f t="shared" si="2"/>
        <v>133.98177577485399</v>
      </c>
      <c r="L5" s="9"/>
    </row>
    <row r="6" spans="1:12">
      <c r="A6" s="96" t="s">
        <v>436</v>
      </c>
      <c r="B6">
        <v>562</v>
      </c>
      <c r="C6">
        <v>398</v>
      </c>
      <c r="D6">
        <v>8000</v>
      </c>
      <c r="E6" s="84">
        <v>54</v>
      </c>
      <c r="F6" s="84">
        <f t="shared" si="0"/>
        <v>27</v>
      </c>
      <c r="G6" s="84">
        <v>17.5</v>
      </c>
      <c r="H6" s="84">
        <f t="shared" si="1"/>
        <v>2968.8050576423543</v>
      </c>
      <c r="I6" s="84">
        <f t="shared" si="2"/>
        <v>189.3017524182967</v>
      </c>
      <c r="J6" s="84">
        <f t="shared" si="2"/>
        <v>134.06067164142721</v>
      </c>
      <c r="L6" s="9"/>
    </row>
    <row r="7" spans="1:12">
      <c r="A7" s="96" t="s">
        <v>437</v>
      </c>
      <c r="B7">
        <v>397</v>
      </c>
      <c r="C7">
        <v>765</v>
      </c>
      <c r="D7">
        <v>3500</v>
      </c>
      <c r="E7" s="84">
        <v>62</v>
      </c>
      <c r="F7" s="84">
        <f t="shared" si="0"/>
        <v>31</v>
      </c>
      <c r="G7" s="84">
        <v>25</v>
      </c>
      <c r="H7" s="84">
        <f t="shared" si="1"/>
        <v>4869.4686130641794</v>
      </c>
      <c r="I7" s="84">
        <f t="shared" si="2"/>
        <v>81.528403106428968</v>
      </c>
      <c r="J7" s="84">
        <f t="shared" si="2"/>
        <v>157.10133092296766</v>
      </c>
      <c r="L7" s="9"/>
    </row>
    <row r="8" spans="1:12">
      <c r="A8" s="96" t="s">
        <v>438</v>
      </c>
      <c r="B8">
        <v>523</v>
      </c>
      <c r="C8">
        <v>502</v>
      </c>
      <c r="D8">
        <v>6500</v>
      </c>
      <c r="E8" s="84">
        <v>54</v>
      </c>
      <c r="F8" s="84">
        <f t="shared" si="0"/>
        <v>27</v>
      </c>
      <c r="G8" s="84">
        <v>17.2</v>
      </c>
      <c r="H8" s="84">
        <f t="shared" si="1"/>
        <v>2917.9112566541994</v>
      </c>
      <c r="I8" s="84">
        <f t="shared" si="2"/>
        <v>179.23780197472283</v>
      </c>
      <c r="J8" s="84">
        <f t="shared" si="2"/>
        <v>172.04087302353892</v>
      </c>
      <c r="L8" s="9"/>
    </row>
    <row r="9" spans="1:12">
      <c r="A9" s="96" t="s">
        <v>439</v>
      </c>
      <c r="B9">
        <v>638</v>
      </c>
      <c r="C9">
        <v>604</v>
      </c>
      <c r="D9">
        <v>6000</v>
      </c>
      <c r="E9" s="84">
        <v>53.34</v>
      </c>
      <c r="F9" s="84">
        <f t="shared" si="0"/>
        <v>26.67</v>
      </c>
      <c r="G9" s="84">
        <v>20.100000000000001</v>
      </c>
      <c r="H9" s="84">
        <f t="shared" si="1"/>
        <v>3368.2082980638397</v>
      </c>
      <c r="I9" s="84">
        <f t="shared" si="2"/>
        <v>189.4182139408492</v>
      </c>
      <c r="J9" s="84">
        <f t="shared" si="2"/>
        <v>179.32382636406413</v>
      </c>
      <c r="L9" s="9"/>
    </row>
  </sheetData>
  <sortState ref="A2:J9">
    <sortCondition ref="J2:J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"/>
  <sheetViews>
    <sheetView workbookViewId="0">
      <selection activeCell="R1" sqref="R1:X4"/>
    </sheetView>
  </sheetViews>
  <sheetFormatPr defaultRowHeight="15"/>
  <sheetData>
    <row r="1" spans="1:24">
      <c r="B1" t="s">
        <v>249</v>
      </c>
      <c r="C1" t="s">
        <v>250</v>
      </c>
      <c r="D1" s="9" t="s">
        <v>253</v>
      </c>
      <c r="E1" s="9" t="s">
        <v>251</v>
      </c>
      <c r="F1" s="9" t="s">
        <v>252</v>
      </c>
      <c r="G1" t="s">
        <v>254</v>
      </c>
      <c r="H1" t="s">
        <v>255</v>
      </c>
      <c r="I1" s="9" t="s">
        <v>256</v>
      </c>
      <c r="J1" s="9" t="s">
        <v>257</v>
      </c>
      <c r="K1" s="9" t="s">
        <v>258</v>
      </c>
      <c r="L1" t="s">
        <v>259</v>
      </c>
      <c r="M1" t="s">
        <v>260</v>
      </c>
      <c r="N1" s="9" t="s">
        <v>261</v>
      </c>
      <c r="O1" s="9" t="s">
        <v>262</v>
      </c>
      <c r="P1" s="9" t="s">
        <v>263</v>
      </c>
      <c r="T1" t="s">
        <v>195</v>
      </c>
      <c r="U1" t="s">
        <v>266</v>
      </c>
      <c r="V1" t="s">
        <v>183</v>
      </c>
      <c r="W1" t="s">
        <v>185</v>
      </c>
      <c r="X1" t="s">
        <v>186</v>
      </c>
    </row>
    <row r="2" spans="1:24">
      <c r="A2" t="s">
        <v>247</v>
      </c>
      <c r="B2" s="58">
        <v>2.36145</v>
      </c>
      <c r="C2" s="58">
        <v>2.36145</v>
      </c>
      <c r="D2" s="58">
        <v>2.3613</v>
      </c>
      <c r="E2" s="58">
        <v>2.3614999999999999</v>
      </c>
      <c r="F2" s="58">
        <v>2.3614000000000002</v>
      </c>
      <c r="G2" s="58">
        <v>2.3626999999999998</v>
      </c>
      <c r="H2" s="58">
        <v>2.3626999999999998</v>
      </c>
      <c r="I2" s="58">
        <v>2.363</v>
      </c>
      <c r="J2" s="58">
        <v>2.363</v>
      </c>
      <c r="K2" s="58">
        <v>2.3628999999999998</v>
      </c>
      <c r="L2" s="58">
        <f t="shared" ref="L2:P3" si="0">G2-B2</f>
        <v>1.2499999999997513E-3</v>
      </c>
      <c r="M2" s="58">
        <f t="shared" si="0"/>
        <v>1.2499999999997513E-3</v>
      </c>
      <c r="N2" s="58">
        <f t="shared" si="0"/>
        <v>1.7000000000000348E-3</v>
      </c>
      <c r="O2" s="58">
        <f t="shared" si="0"/>
        <v>1.5000000000000568E-3</v>
      </c>
      <c r="P2" s="58">
        <f t="shared" si="0"/>
        <v>1.4999999999996128E-3</v>
      </c>
      <c r="R2" t="s">
        <v>264</v>
      </c>
      <c r="T2" s="58">
        <f>MIN(B2:F3)</f>
        <v>2.3610000000000002</v>
      </c>
      <c r="U2" s="58">
        <f>MROUND(AVERAGE(B2:F3),0.00005)</f>
        <v>2.3612500000000001</v>
      </c>
      <c r="V2" s="58">
        <f>MAX(B2:F3)</f>
        <v>2.3614999999999999</v>
      </c>
      <c r="W2" s="58">
        <f>T2-U2</f>
        <v>-2.4999999999986144E-4</v>
      </c>
      <c r="X2" s="58">
        <f>V2-U2</f>
        <v>2.4999999999986144E-4</v>
      </c>
    </row>
    <row r="3" spans="1:24">
      <c r="A3" t="s">
        <v>248</v>
      </c>
      <c r="B3" s="58">
        <v>2.3611</v>
      </c>
      <c r="C3" s="58">
        <v>2.3611</v>
      </c>
      <c r="D3" s="58">
        <v>2.3612000000000002</v>
      </c>
      <c r="E3" s="58">
        <v>2.3610000000000002</v>
      </c>
      <c r="F3" s="58">
        <v>2.3612000000000002</v>
      </c>
      <c r="G3" s="58">
        <v>2.3626999999999998</v>
      </c>
      <c r="H3" s="58">
        <v>2.3626999999999998</v>
      </c>
      <c r="I3" s="58">
        <v>2.363</v>
      </c>
      <c r="J3" s="58">
        <v>2.363</v>
      </c>
      <c r="K3" s="58">
        <v>2.3628999999999998</v>
      </c>
      <c r="L3" s="58">
        <f t="shared" si="0"/>
        <v>1.5999999999998238E-3</v>
      </c>
      <c r="M3" s="58">
        <f t="shared" si="0"/>
        <v>1.5999999999998238E-3</v>
      </c>
      <c r="N3" s="58">
        <f t="shared" si="0"/>
        <v>1.7999999999998018E-3</v>
      </c>
      <c r="O3" s="58">
        <f t="shared" si="0"/>
        <v>1.9999999999997797E-3</v>
      </c>
      <c r="P3" s="58">
        <f t="shared" si="0"/>
        <v>1.6999999999995907E-3</v>
      </c>
      <c r="R3" t="s">
        <v>265</v>
      </c>
      <c r="T3" s="58">
        <f>MIN(G2:K3)</f>
        <v>2.3626999999999998</v>
      </c>
      <c r="U3" s="58">
        <f>MROUND(AVERAGE(G2:K3),0.00005)</f>
        <v>2.3628499999999999</v>
      </c>
      <c r="V3" s="58">
        <f>MAX(G2:K3)</f>
        <v>2.363</v>
      </c>
      <c r="W3" s="58">
        <f>T3-U3</f>
        <v>-1.500000000000945E-4</v>
      </c>
      <c r="X3" s="58">
        <f>V3-U3</f>
        <v>1.500000000000945E-4</v>
      </c>
    </row>
    <row r="4" spans="1:24">
      <c r="C4" s="9"/>
      <c r="D4" s="9"/>
      <c r="E4" s="9"/>
      <c r="F4" s="9"/>
      <c r="R4" t="s">
        <v>243</v>
      </c>
      <c r="T4" s="58">
        <f>MIN(G2:K3)-MAX(B2:F3)</f>
        <v>1.1999999999998678E-3</v>
      </c>
      <c r="U4" s="58">
        <f>MROUND(AVERAGE(L2:P3),0.00005)</f>
        <v>1.6000000000000001E-3</v>
      </c>
      <c r="V4" s="58">
        <f>MAX(G2:K3)-MIN(B2:F3)</f>
        <v>1.9999999999997797E-3</v>
      </c>
      <c r="W4" s="58">
        <f>T4-U4</f>
        <v>-4.0000000000013224E-4</v>
      </c>
      <c r="X4" s="58">
        <f>V4-U4</f>
        <v>3.9999999999977966E-4</v>
      </c>
    </row>
    <row r="5" spans="1:24">
      <c r="H5" s="9"/>
      <c r="I5" s="9"/>
      <c r="J5" s="9"/>
      <c r="K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L36"/>
  <sheetViews>
    <sheetView topLeftCell="B1" zoomScaleNormal="100" workbookViewId="0">
      <selection activeCell="O2" sqref="O2"/>
    </sheetView>
  </sheetViews>
  <sheetFormatPr defaultRowHeight="15"/>
  <cols>
    <col min="1" max="1" width="48.85546875"/>
    <col min="2" max="2" width="11.7109375" style="9" bestFit="1" customWidth="1"/>
    <col min="3" max="10" width="9.140625" style="54"/>
    <col min="11" max="15" width="10.7109375" style="55"/>
    <col min="16" max="1026" width="9.140625" style="9"/>
  </cols>
  <sheetData>
    <row r="1" spans="1:18" ht="15" customHeight="1">
      <c r="B1" s="58" t="s">
        <v>234</v>
      </c>
      <c r="C1" s="64" t="s">
        <v>191</v>
      </c>
      <c r="D1" s="64" t="s">
        <v>187</v>
      </c>
      <c r="E1" s="64" t="s">
        <v>192</v>
      </c>
      <c r="F1" s="64" t="s">
        <v>188</v>
      </c>
      <c r="G1" s="64" t="s">
        <v>193</v>
      </c>
      <c r="H1" s="64" t="s">
        <v>189</v>
      </c>
      <c r="I1" s="64" t="s">
        <v>194</v>
      </c>
      <c r="J1" s="64" t="s">
        <v>190</v>
      </c>
      <c r="M1" s="56" t="s">
        <v>195</v>
      </c>
      <c r="N1" s="56" t="s">
        <v>183</v>
      </c>
      <c r="O1" s="56" t="s">
        <v>184</v>
      </c>
      <c r="P1" s="56" t="s">
        <v>185</v>
      </c>
      <c r="Q1" s="56" t="s">
        <v>186</v>
      </c>
    </row>
    <row r="2" spans="1:18" ht="15" customHeight="1">
      <c r="A2" t="s">
        <v>196</v>
      </c>
      <c r="B2" s="58" t="s">
        <v>199</v>
      </c>
      <c r="C2" s="64">
        <v>2.0465</v>
      </c>
      <c r="D2" s="64">
        <v>2.0465499999999999</v>
      </c>
      <c r="E2" s="64">
        <v>2.0465499999999999</v>
      </c>
      <c r="F2" s="64">
        <v>2.0465</v>
      </c>
      <c r="G2" s="64">
        <v>2.0466000000000002</v>
      </c>
      <c r="H2" s="64">
        <v>2.0465499999999999</v>
      </c>
      <c r="I2" s="64">
        <v>2.0465</v>
      </c>
      <c r="J2" s="64">
        <v>2.0466000000000002</v>
      </c>
      <c r="L2" s="55" t="s">
        <v>273</v>
      </c>
      <c r="M2" s="57">
        <f>MIN(C2:J13)</f>
        <v>2.0464000000000002</v>
      </c>
      <c r="N2" s="57">
        <f>MAX(C2:J13)</f>
        <v>2.0468000000000002</v>
      </c>
      <c r="O2" s="57">
        <f>MODE(C2:J13)</f>
        <v>2.0465</v>
      </c>
      <c r="P2" s="57">
        <f>M2-O2</f>
        <v>-9.9999999999766942E-5</v>
      </c>
      <c r="Q2" s="57">
        <f>N2-O2</f>
        <v>3.00000000000189E-4</v>
      </c>
      <c r="R2" s="58"/>
    </row>
    <row r="3" spans="1:18" ht="15" customHeight="1">
      <c r="A3" t="s">
        <v>197</v>
      </c>
      <c r="B3" s="58" t="s">
        <v>200</v>
      </c>
      <c r="C3" s="64">
        <v>2.0465</v>
      </c>
      <c r="D3" s="64">
        <v>2.0465499999999999</v>
      </c>
      <c r="E3" s="64">
        <v>2.0465499999999999</v>
      </c>
      <c r="F3" s="64">
        <v>2.0465</v>
      </c>
      <c r="G3" s="64">
        <v>2.0466000000000002</v>
      </c>
      <c r="H3" s="64">
        <v>2.0466000000000002</v>
      </c>
      <c r="I3" s="64">
        <v>2.0465</v>
      </c>
      <c r="J3" s="64">
        <v>2.0465</v>
      </c>
      <c r="K3" s="57"/>
      <c r="L3" s="57" t="s">
        <v>265</v>
      </c>
      <c r="M3" s="57">
        <f>'Virgin 702_703'!K7</f>
        <v>2.0479500000000002</v>
      </c>
      <c r="N3" s="59">
        <f>'Virgin 702_703'!L7</f>
        <v>2.0484</v>
      </c>
      <c r="O3" s="59">
        <f>'Virgin 702_703'!M7</f>
        <v>2.048</v>
      </c>
      <c r="P3" s="59">
        <f>'Virgin 702_703'!N7</f>
        <v>-4.9999999999883471E-5</v>
      </c>
      <c r="Q3" s="59">
        <f>'Virgin 702_703'!O7</f>
        <v>3.9999999999995595E-4</v>
      </c>
      <c r="R3" s="58"/>
    </row>
    <row r="4" spans="1:18" ht="15" customHeight="1">
      <c r="A4" t="s">
        <v>198</v>
      </c>
      <c r="B4" s="58" t="s">
        <v>201</v>
      </c>
      <c r="C4" s="64">
        <v>2.0465</v>
      </c>
      <c r="D4" s="64">
        <v>2.0465</v>
      </c>
      <c r="E4" s="64">
        <v>2.0465</v>
      </c>
      <c r="F4" s="64">
        <v>2.0465</v>
      </c>
      <c r="G4" s="64">
        <v>2.0465</v>
      </c>
      <c r="H4" s="64">
        <v>2.0465</v>
      </c>
      <c r="I4" s="64">
        <v>2.0465</v>
      </c>
      <c r="J4" s="64">
        <v>2.0465</v>
      </c>
      <c r="K4" s="57"/>
      <c r="L4" s="55" t="s">
        <v>243</v>
      </c>
      <c r="M4" s="59">
        <f>M3-N2</f>
        <v>1.1499999999999844E-3</v>
      </c>
      <c r="N4" s="57">
        <f>N3-M2</f>
        <v>1.9999999999997797E-3</v>
      </c>
      <c r="O4" s="57">
        <f>O3-O2</f>
        <v>1.5000000000000568E-3</v>
      </c>
      <c r="P4" s="58">
        <f>M4-O4</f>
        <v>-3.5000000000007248E-4</v>
      </c>
      <c r="Q4" s="58">
        <f>N4-O4</f>
        <v>4.9999999999972289E-4</v>
      </c>
    </row>
    <row r="5" spans="1:18">
      <c r="B5" s="58" t="s">
        <v>202</v>
      </c>
      <c r="C5" s="64">
        <v>2.0466000000000002</v>
      </c>
      <c r="D5" s="64">
        <v>2.0467</v>
      </c>
      <c r="E5" s="64">
        <v>2.0465</v>
      </c>
      <c r="F5" s="64">
        <v>2.0466000000000002</v>
      </c>
      <c r="G5" s="64">
        <v>2.0464000000000002</v>
      </c>
      <c r="H5" s="64">
        <v>2.0464000000000002</v>
      </c>
      <c r="I5" s="64">
        <v>2.0465</v>
      </c>
      <c r="J5" s="64">
        <v>2.0465</v>
      </c>
    </row>
    <row r="6" spans="1:18">
      <c r="B6" s="58" t="s">
        <v>203</v>
      </c>
      <c r="C6" s="64">
        <v>2.0465</v>
      </c>
      <c r="D6" s="64">
        <v>2.0465</v>
      </c>
      <c r="E6" s="64">
        <v>2.0465</v>
      </c>
      <c r="F6" s="64">
        <v>2.0465</v>
      </c>
      <c r="G6" s="64">
        <v>2.0464000000000002</v>
      </c>
      <c r="H6" s="64">
        <v>2.0464000000000002</v>
      </c>
      <c r="I6" s="64">
        <v>2.0464000000000002</v>
      </c>
      <c r="J6" s="64">
        <v>2.0464000000000002</v>
      </c>
    </row>
    <row r="7" spans="1:18">
      <c r="B7" s="58" t="s">
        <v>204</v>
      </c>
      <c r="C7" s="64">
        <v>2.0467</v>
      </c>
      <c r="D7" s="64">
        <v>2.0468000000000002</v>
      </c>
      <c r="E7" s="64">
        <v>2.0467</v>
      </c>
      <c r="F7" s="64">
        <v>2.0467</v>
      </c>
      <c r="G7" s="64">
        <v>2.0467</v>
      </c>
      <c r="H7" s="64">
        <v>2.0467</v>
      </c>
      <c r="I7" s="64">
        <v>2.0467</v>
      </c>
      <c r="J7" s="64">
        <v>2.0467</v>
      </c>
    </row>
    <row r="8" spans="1:18" ht="15" customHeight="1">
      <c r="A8" t="s">
        <v>33</v>
      </c>
      <c r="B8" s="58" t="s">
        <v>205</v>
      </c>
      <c r="C8" s="64">
        <v>2.0465</v>
      </c>
      <c r="D8" s="64">
        <v>2.0465</v>
      </c>
      <c r="E8" s="64">
        <v>2.0465</v>
      </c>
      <c r="F8" s="64">
        <v>2.0465</v>
      </c>
      <c r="G8" s="64">
        <v>2.0465</v>
      </c>
      <c r="H8" s="64">
        <v>2.0465</v>
      </c>
      <c r="I8" s="64">
        <v>2.0465</v>
      </c>
      <c r="J8" s="64">
        <v>2.0465</v>
      </c>
      <c r="K8" s="56"/>
      <c r="N8" s="56"/>
      <c r="O8" s="56"/>
    </row>
    <row r="9" spans="1:18" ht="15" customHeight="1">
      <c r="B9" s="58" t="s">
        <v>206</v>
      </c>
      <c r="C9" s="64">
        <v>2.0465</v>
      </c>
      <c r="D9" s="64">
        <v>2.0465</v>
      </c>
      <c r="E9" s="64">
        <v>2.0465</v>
      </c>
      <c r="F9" s="64">
        <v>2.0465</v>
      </c>
      <c r="G9" s="64">
        <v>2.0464000000000002</v>
      </c>
      <c r="H9" s="64">
        <v>2.0464000000000002</v>
      </c>
      <c r="I9" s="64">
        <v>2.0464000000000002</v>
      </c>
      <c r="J9" s="64">
        <v>2.0464000000000002</v>
      </c>
      <c r="K9" s="59"/>
      <c r="N9" s="59"/>
      <c r="O9" s="59"/>
      <c r="Q9" s="9">
        <f xml:space="preserve"> 0.005 / 25.4</f>
        <v>1.9685039370078743E-4</v>
      </c>
    </row>
    <row r="10" spans="1:18" ht="15" customHeight="1">
      <c r="A10" t="s">
        <v>199</v>
      </c>
      <c r="B10" s="58" t="s">
        <v>207</v>
      </c>
      <c r="C10" s="64">
        <v>2.0465</v>
      </c>
      <c r="D10" s="64">
        <v>2.0465</v>
      </c>
      <c r="E10" s="64">
        <v>2.0465</v>
      </c>
      <c r="F10" s="64">
        <v>2.0465</v>
      </c>
      <c r="G10" s="64">
        <v>2.0464000000000002</v>
      </c>
      <c r="H10" s="64">
        <v>2.0464000000000002</v>
      </c>
      <c r="I10" s="64">
        <v>2.0464000000000002</v>
      </c>
      <c r="J10" s="64">
        <v>2.0464000000000002</v>
      </c>
      <c r="Q10" s="9">
        <f>'Virgin 702_703'!M21+0.0005</f>
        <v>2.0485000000000002</v>
      </c>
    </row>
    <row r="11" spans="1:18" ht="15" customHeight="1">
      <c r="A11" t="s">
        <v>200</v>
      </c>
      <c r="B11" s="58" t="s">
        <v>208</v>
      </c>
      <c r="C11" s="64">
        <v>2.0465</v>
      </c>
      <c r="D11" s="64">
        <v>2.0465</v>
      </c>
      <c r="E11" s="64">
        <v>2.0465</v>
      </c>
      <c r="F11" s="64">
        <v>2.0465</v>
      </c>
      <c r="G11" s="64">
        <v>2.0464000000000002</v>
      </c>
      <c r="H11" s="64">
        <v>2.0464000000000002</v>
      </c>
      <c r="I11" s="64">
        <v>2.0466000000000002</v>
      </c>
      <c r="J11" s="64">
        <v>2.0466000000000002</v>
      </c>
      <c r="Q11" s="58">
        <f>O2-Q9</f>
        <v>2.0463031496062993</v>
      </c>
    </row>
    <row r="12" spans="1:18" ht="15" customHeight="1">
      <c r="A12" t="s">
        <v>201</v>
      </c>
      <c r="B12" s="58" t="s">
        <v>209</v>
      </c>
      <c r="C12" s="64">
        <v>2.0468000000000002</v>
      </c>
      <c r="D12" s="64">
        <v>2.0468000000000002</v>
      </c>
      <c r="E12" s="64">
        <v>2.0465</v>
      </c>
      <c r="F12" s="64">
        <v>2.0465</v>
      </c>
      <c r="G12" s="64">
        <v>2.0464000000000002</v>
      </c>
      <c r="H12" s="64">
        <v>2.0465</v>
      </c>
      <c r="I12" s="64">
        <v>2.0466000000000002</v>
      </c>
      <c r="J12" s="64">
        <v>2.0467</v>
      </c>
      <c r="Q12" s="58">
        <f>Q10-Q11</f>
        <v>2.1968503937008776E-3</v>
      </c>
    </row>
    <row r="13" spans="1:18" ht="15" customHeight="1">
      <c r="A13" t="s">
        <v>202</v>
      </c>
      <c r="B13" s="58" t="s">
        <v>210</v>
      </c>
      <c r="C13" s="64">
        <v>2.0465</v>
      </c>
      <c r="D13" s="64">
        <v>2.0465</v>
      </c>
      <c r="E13" s="64">
        <v>2.0465</v>
      </c>
      <c r="F13" s="64">
        <v>2.0465</v>
      </c>
      <c r="G13" s="64">
        <v>2.0465</v>
      </c>
      <c r="H13" s="64">
        <v>2.0465</v>
      </c>
      <c r="I13" s="64">
        <v>2.0465</v>
      </c>
      <c r="J13" s="64">
        <v>2.0465</v>
      </c>
      <c r="L13" s="59"/>
    </row>
    <row r="14" spans="1:18" ht="15" customHeight="1">
      <c r="L14" s="59"/>
    </row>
    <row r="15" spans="1:18" ht="15" customHeight="1">
      <c r="L15" s="59"/>
    </row>
    <row r="16" spans="1:18" ht="15" customHeight="1">
      <c r="L16" s="59"/>
    </row>
    <row r="17" spans="2:15" ht="15" customHeight="1">
      <c r="L17" s="59"/>
    </row>
    <row r="18" spans="2:15" ht="15" customHeight="1">
      <c r="L18" s="59"/>
    </row>
    <row r="19" spans="2:15" ht="15" customHeight="1">
      <c r="L19" s="59"/>
    </row>
    <row r="20" spans="2:15" ht="15" customHeight="1"/>
    <row r="21" spans="2:15" ht="15" customHeight="1"/>
    <row r="24" spans="2:15">
      <c r="B24" s="9" t="s">
        <v>233</v>
      </c>
      <c r="K24" s="56" t="s">
        <v>195</v>
      </c>
      <c r="L24" s="56" t="s">
        <v>183</v>
      </c>
      <c r="M24" s="56" t="s">
        <v>184</v>
      </c>
      <c r="N24" s="56" t="s">
        <v>185</v>
      </c>
      <c r="O24" s="56" t="s">
        <v>186</v>
      </c>
    </row>
    <row r="25" spans="2:15">
      <c r="B25" s="58" t="s">
        <v>199</v>
      </c>
      <c r="C25" s="64">
        <f>ROUND(C2,4)</f>
        <v>2.0465</v>
      </c>
      <c r="D25" s="64">
        <f t="shared" ref="D25:J25" si="0">ROUND(D2,4)</f>
        <v>2.0466000000000002</v>
      </c>
      <c r="E25" s="64">
        <f t="shared" si="0"/>
        <v>2.0466000000000002</v>
      </c>
      <c r="F25" s="64">
        <f t="shared" si="0"/>
        <v>2.0465</v>
      </c>
      <c r="G25" s="64">
        <f t="shared" si="0"/>
        <v>2.0466000000000002</v>
      </c>
      <c r="H25" s="64">
        <f t="shared" si="0"/>
        <v>2.0466000000000002</v>
      </c>
      <c r="I25" s="64">
        <f t="shared" si="0"/>
        <v>2.0465</v>
      </c>
      <c r="J25" s="64">
        <f t="shared" si="0"/>
        <v>2.0466000000000002</v>
      </c>
      <c r="K25" s="59">
        <f>MIN(C25:J36)</f>
        <v>2.0464000000000002</v>
      </c>
      <c r="L25" s="59">
        <f>MAX(C25:J36)</f>
        <v>2.0468000000000002</v>
      </c>
      <c r="M25" s="59">
        <f>MODE(C25:J36)</f>
        <v>2.0465</v>
      </c>
      <c r="N25" s="59">
        <f>K25-M25</f>
        <v>-9.9999999999766942E-5</v>
      </c>
      <c r="O25" s="59">
        <f>L25-M25</f>
        <v>3.00000000000189E-4</v>
      </c>
    </row>
    <row r="26" spans="2:15">
      <c r="B26" s="58" t="s">
        <v>200</v>
      </c>
      <c r="C26" s="64">
        <f t="shared" ref="C26:J36" si="1">ROUND(C3,4)</f>
        <v>2.0465</v>
      </c>
      <c r="D26" s="64">
        <f t="shared" si="1"/>
        <v>2.0466000000000002</v>
      </c>
      <c r="E26" s="64">
        <f t="shared" si="1"/>
        <v>2.0466000000000002</v>
      </c>
      <c r="F26" s="64">
        <f t="shared" si="1"/>
        <v>2.0465</v>
      </c>
      <c r="G26" s="64">
        <f t="shared" si="1"/>
        <v>2.0466000000000002</v>
      </c>
      <c r="H26" s="64">
        <f t="shared" si="1"/>
        <v>2.0466000000000002</v>
      </c>
      <c r="I26" s="64">
        <f t="shared" si="1"/>
        <v>2.0465</v>
      </c>
      <c r="J26" s="64">
        <f t="shared" si="1"/>
        <v>2.0465</v>
      </c>
    </row>
    <row r="27" spans="2:15">
      <c r="B27" s="58" t="s">
        <v>201</v>
      </c>
      <c r="C27" s="64">
        <f t="shared" si="1"/>
        <v>2.0465</v>
      </c>
      <c r="D27" s="64">
        <f t="shared" si="1"/>
        <v>2.0465</v>
      </c>
      <c r="E27" s="64">
        <f t="shared" si="1"/>
        <v>2.0465</v>
      </c>
      <c r="F27" s="64">
        <f t="shared" si="1"/>
        <v>2.0465</v>
      </c>
      <c r="G27" s="64">
        <f t="shared" si="1"/>
        <v>2.0465</v>
      </c>
      <c r="H27" s="64">
        <f t="shared" si="1"/>
        <v>2.0465</v>
      </c>
      <c r="I27" s="64">
        <f t="shared" si="1"/>
        <v>2.0465</v>
      </c>
      <c r="J27" s="64">
        <f t="shared" si="1"/>
        <v>2.0465</v>
      </c>
    </row>
    <row r="28" spans="2:15">
      <c r="B28" s="58" t="s">
        <v>202</v>
      </c>
      <c r="C28" s="64">
        <f t="shared" si="1"/>
        <v>2.0466000000000002</v>
      </c>
      <c r="D28" s="64">
        <f t="shared" si="1"/>
        <v>2.0467</v>
      </c>
      <c r="E28" s="64">
        <f t="shared" si="1"/>
        <v>2.0465</v>
      </c>
      <c r="F28" s="64">
        <f t="shared" si="1"/>
        <v>2.0466000000000002</v>
      </c>
      <c r="G28" s="64">
        <f t="shared" si="1"/>
        <v>2.0464000000000002</v>
      </c>
      <c r="H28" s="64">
        <f t="shared" si="1"/>
        <v>2.0464000000000002</v>
      </c>
      <c r="I28" s="64">
        <f t="shared" si="1"/>
        <v>2.0465</v>
      </c>
      <c r="J28" s="64">
        <f t="shared" si="1"/>
        <v>2.0465</v>
      </c>
      <c r="L28" s="57" t="s">
        <v>231</v>
      </c>
      <c r="M28" s="57" t="s">
        <v>232</v>
      </c>
    </row>
    <row r="29" spans="2:15">
      <c r="B29" s="58" t="s">
        <v>203</v>
      </c>
      <c r="C29" s="64">
        <f t="shared" si="1"/>
        <v>2.0465</v>
      </c>
      <c r="D29" s="64">
        <f t="shared" si="1"/>
        <v>2.0465</v>
      </c>
      <c r="E29" s="64">
        <f t="shared" si="1"/>
        <v>2.0465</v>
      </c>
      <c r="F29" s="64">
        <f t="shared" si="1"/>
        <v>2.0465</v>
      </c>
      <c r="G29" s="64">
        <f t="shared" si="1"/>
        <v>2.0464000000000002</v>
      </c>
      <c r="H29" s="64">
        <f t="shared" si="1"/>
        <v>2.0464000000000002</v>
      </c>
      <c r="I29" s="64">
        <f t="shared" si="1"/>
        <v>2.0464000000000002</v>
      </c>
      <c r="J29" s="64">
        <f t="shared" si="1"/>
        <v>2.0464000000000002</v>
      </c>
      <c r="L29" s="59">
        <v>2.0463</v>
      </c>
      <c r="M29" s="55">
        <f t="shared" ref="M29:M36" si="2">COUNTIF(C$25:J$36,L29)</f>
        <v>0</v>
      </c>
    </row>
    <row r="30" spans="2:15">
      <c r="B30" s="58" t="s">
        <v>204</v>
      </c>
      <c r="C30" s="64">
        <f t="shared" si="1"/>
        <v>2.0467</v>
      </c>
      <c r="D30" s="64">
        <f t="shared" si="1"/>
        <v>2.0468000000000002</v>
      </c>
      <c r="E30" s="64">
        <f t="shared" si="1"/>
        <v>2.0467</v>
      </c>
      <c r="F30" s="64">
        <f t="shared" si="1"/>
        <v>2.0467</v>
      </c>
      <c r="G30" s="64">
        <f t="shared" si="1"/>
        <v>2.0467</v>
      </c>
      <c r="H30" s="64">
        <f t="shared" si="1"/>
        <v>2.0467</v>
      </c>
      <c r="I30" s="64">
        <f t="shared" si="1"/>
        <v>2.0467</v>
      </c>
      <c r="J30" s="64">
        <f t="shared" si="1"/>
        <v>2.0467</v>
      </c>
      <c r="L30" s="59">
        <v>2.0464000000000002</v>
      </c>
      <c r="M30" s="55">
        <f t="shared" si="2"/>
        <v>17</v>
      </c>
    </row>
    <row r="31" spans="2:15">
      <c r="B31" s="58" t="s">
        <v>205</v>
      </c>
      <c r="C31" s="64">
        <f t="shared" si="1"/>
        <v>2.0465</v>
      </c>
      <c r="D31" s="64">
        <f t="shared" si="1"/>
        <v>2.0465</v>
      </c>
      <c r="E31" s="64">
        <f t="shared" si="1"/>
        <v>2.0465</v>
      </c>
      <c r="F31" s="64">
        <f t="shared" si="1"/>
        <v>2.0465</v>
      </c>
      <c r="G31" s="64">
        <f t="shared" si="1"/>
        <v>2.0465</v>
      </c>
      <c r="H31" s="64">
        <f t="shared" si="1"/>
        <v>2.0465</v>
      </c>
      <c r="I31" s="64">
        <f t="shared" si="1"/>
        <v>2.0465</v>
      </c>
      <c r="J31" s="64">
        <f t="shared" si="1"/>
        <v>2.0465</v>
      </c>
      <c r="L31" s="59">
        <v>2.0465</v>
      </c>
      <c r="M31" s="55">
        <f t="shared" si="2"/>
        <v>53</v>
      </c>
    </row>
    <row r="32" spans="2:15">
      <c r="B32" s="58" t="s">
        <v>206</v>
      </c>
      <c r="C32" s="64">
        <f t="shared" si="1"/>
        <v>2.0465</v>
      </c>
      <c r="D32" s="64">
        <f t="shared" si="1"/>
        <v>2.0465</v>
      </c>
      <c r="E32" s="64">
        <f t="shared" si="1"/>
        <v>2.0465</v>
      </c>
      <c r="F32" s="64">
        <f t="shared" si="1"/>
        <v>2.0465</v>
      </c>
      <c r="G32" s="64">
        <f t="shared" si="1"/>
        <v>2.0464000000000002</v>
      </c>
      <c r="H32" s="64">
        <f t="shared" si="1"/>
        <v>2.0464000000000002</v>
      </c>
      <c r="I32" s="64">
        <f t="shared" si="1"/>
        <v>2.0464000000000002</v>
      </c>
      <c r="J32" s="64">
        <f t="shared" si="1"/>
        <v>2.0464000000000002</v>
      </c>
      <c r="L32" s="59">
        <v>2.0466000000000002</v>
      </c>
      <c r="M32" s="55">
        <f t="shared" si="2"/>
        <v>14</v>
      </c>
    </row>
    <row r="33" spans="2:13">
      <c r="B33" s="58" t="s">
        <v>207</v>
      </c>
      <c r="C33" s="64">
        <f t="shared" si="1"/>
        <v>2.0465</v>
      </c>
      <c r="D33" s="64">
        <f t="shared" si="1"/>
        <v>2.0465</v>
      </c>
      <c r="E33" s="64">
        <f t="shared" si="1"/>
        <v>2.0465</v>
      </c>
      <c r="F33" s="64">
        <f t="shared" si="1"/>
        <v>2.0465</v>
      </c>
      <c r="G33" s="64">
        <f t="shared" si="1"/>
        <v>2.0464000000000002</v>
      </c>
      <c r="H33" s="64">
        <f t="shared" si="1"/>
        <v>2.0464000000000002</v>
      </c>
      <c r="I33" s="64">
        <f t="shared" si="1"/>
        <v>2.0464000000000002</v>
      </c>
      <c r="J33" s="64">
        <f t="shared" si="1"/>
        <v>2.0464000000000002</v>
      </c>
      <c r="L33" s="59">
        <v>2.0467</v>
      </c>
      <c r="M33" s="55">
        <f t="shared" si="2"/>
        <v>9</v>
      </c>
    </row>
    <row r="34" spans="2:13">
      <c r="B34" s="58" t="s">
        <v>208</v>
      </c>
      <c r="C34" s="64">
        <f t="shared" si="1"/>
        <v>2.0465</v>
      </c>
      <c r="D34" s="64">
        <f t="shared" si="1"/>
        <v>2.0465</v>
      </c>
      <c r="E34" s="64">
        <f t="shared" si="1"/>
        <v>2.0465</v>
      </c>
      <c r="F34" s="64">
        <f t="shared" si="1"/>
        <v>2.0465</v>
      </c>
      <c r="G34" s="64">
        <f t="shared" si="1"/>
        <v>2.0464000000000002</v>
      </c>
      <c r="H34" s="64">
        <f t="shared" si="1"/>
        <v>2.0464000000000002</v>
      </c>
      <c r="I34" s="64">
        <f t="shared" si="1"/>
        <v>2.0466000000000002</v>
      </c>
      <c r="J34" s="64">
        <f t="shared" si="1"/>
        <v>2.0466000000000002</v>
      </c>
      <c r="L34" s="59">
        <v>2.0468000000000002</v>
      </c>
      <c r="M34" s="55">
        <f t="shared" si="2"/>
        <v>3</v>
      </c>
    </row>
    <row r="35" spans="2:13">
      <c r="B35" s="58" t="s">
        <v>209</v>
      </c>
      <c r="C35" s="64">
        <f t="shared" si="1"/>
        <v>2.0468000000000002</v>
      </c>
      <c r="D35" s="64">
        <f t="shared" si="1"/>
        <v>2.0468000000000002</v>
      </c>
      <c r="E35" s="64">
        <f t="shared" si="1"/>
        <v>2.0465</v>
      </c>
      <c r="F35" s="64">
        <f t="shared" si="1"/>
        <v>2.0465</v>
      </c>
      <c r="G35" s="64">
        <f t="shared" si="1"/>
        <v>2.0464000000000002</v>
      </c>
      <c r="H35" s="64">
        <f t="shared" si="1"/>
        <v>2.0465</v>
      </c>
      <c r="I35" s="64">
        <f t="shared" si="1"/>
        <v>2.0466000000000002</v>
      </c>
      <c r="J35" s="64">
        <f t="shared" si="1"/>
        <v>2.0467</v>
      </c>
      <c r="L35" s="59">
        <v>2.0468999999999999</v>
      </c>
      <c r="M35" s="55">
        <f t="shared" si="2"/>
        <v>0</v>
      </c>
    </row>
    <row r="36" spans="2:13">
      <c r="B36" s="58" t="s">
        <v>210</v>
      </c>
      <c r="C36" s="64">
        <f t="shared" si="1"/>
        <v>2.0465</v>
      </c>
      <c r="D36" s="64">
        <f t="shared" si="1"/>
        <v>2.0465</v>
      </c>
      <c r="E36" s="64">
        <f t="shared" si="1"/>
        <v>2.0465</v>
      </c>
      <c r="F36" s="64">
        <f t="shared" si="1"/>
        <v>2.0465</v>
      </c>
      <c r="G36" s="64">
        <f t="shared" si="1"/>
        <v>2.0465</v>
      </c>
      <c r="H36" s="64">
        <f t="shared" si="1"/>
        <v>2.0465</v>
      </c>
      <c r="I36" s="64">
        <f t="shared" si="1"/>
        <v>2.0465</v>
      </c>
      <c r="J36" s="64">
        <f t="shared" si="1"/>
        <v>2.0465</v>
      </c>
      <c r="L36" s="59">
        <v>2.0470000000000002</v>
      </c>
      <c r="M36" s="55">
        <f t="shared" si="2"/>
        <v>0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60"/>
  <sheetViews>
    <sheetView zoomScale="85" zoomScaleNormal="85" workbookViewId="0">
      <selection activeCell="D8" sqref="D8"/>
    </sheetView>
  </sheetViews>
  <sheetFormatPr defaultRowHeight="15"/>
  <cols>
    <col min="1" max="1" width="16" style="58" customWidth="1"/>
    <col min="2" max="12" width="9.140625" style="58"/>
    <col min="13" max="14" width="9.140625" style="9"/>
    <col min="15" max="16" width="9.140625" style="58"/>
    <col min="17" max="16384" width="9.140625" style="9"/>
  </cols>
  <sheetData>
    <row r="1" spans="1:24">
      <c r="A1" s="58" t="s">
        <v>284</v>
      </c>
    </row>
    <row r="2" spans="1:24">
      <c r="A2" s="58" t="s">
        <v>285</v>
      </c>
      <c r="B2" s="58">
        <v>0.95235000000000003</v>
      </c>
    </row>
    <row r="3" spans="1:24">
      <c r="A3" s="58" t="s">
        <v>286</v>
      </c>
      <c r="B3" s="58">
        <v>0.75600000000000001</v>
      </c>
    </row>
    <row r="5" spans="1:24" ht="15" customHeight="1">
      <c r="B5" s="53" t="s">
        <v>287</v>
      </c>
      <c r="C5" s="53" t="s">
        <v>183</v>
      </c>
      <c r="D5" s="53" t="s">
        <v>184</v>
      </c>
      <c r="E5" s="53" t="s">
        <v>185</v>
      </c>
      <c r="F5" s="53" t="s">
        <v>186</v>
      </c>
      <c r="G5" s="53"/>
      <c r="H5" s="53"/>
      <c r="I5" s="53"/>
    </row>
    <row r="6" spans="1:24" ht="15" customHeight="1">
      <c r="B6" s="53"/>
      <c r="C6" s="53"/>
      <c r="D6" s="53"/>
      <c r="E6" s="53"/>
      <c r="F6" s="53"/>
      <c r="G6" s="53"/>
      <c r="H6" s="53"/>
      <c r="I6" s="53"/>
      <c r="M6" s="9">
        <v>56</v>
      </c>
      <c r="N6" s="82">
        <f>M6/25.4</f>
        <v>2.204724409448819</v>
      </c>
    </row>
    <row r="7" spans="1:24" ht="15" customHeight="1">
      <c r="A7" s="58" t="s">
        <v>288</v>
      </c>
      <c r="B7" s="53">
        <f>21.013/25.4</f>
        <v>0.82728346456692925</v>
      </c>
      <c r="C7" s="53">
        <f>21.02/25.4</f>
        <v>0.82755905511811023</v>
      </c>
      <c r="D7" s="58">
        <f>AVERAGE(B7:C7)</f>
        <v>0.82742125984251969</v>
      </c>
      <c r="E7" s="58">
        <f>B7-D7</f>
        <v>-1.3779527559043547E-4</v>
      </c>
      <c r="F7" s="58">
        <f>C7-D7</f>
        <v>1.377952755905465E-4</v>
      </c>
      <c r="G7" s="53"/>
      <c r="H7" s="53"/>
      <c r="I7" s="53"/>
      <c r="M7" s="9">
        <v>56.012999999999998</v>
      </c>
      <c r="N7" s="82">
        <f>M7/25.4</f>
        <v>2.2052362204724409</v>
      </c>
      <c r="X7" s="9">
        <f>0.02/25.4</f>
        <v>7.874015748031497E-4</v>
      </c>
    </row>
    <row r="8" spans="1:24" ht="15" customHeight="1">
      <c r="A8" s="58" t="s">
        <v>289</v>
      </c>
      <c r="B8" s="58">
        <f>(56/25.4)</f>
        <v>2.204724409448819</v>
      </c>
      <c r="C8" s="58">
        <f>56.013/25.4</f>
        <v>2.2052362204724409</v>
      </c>
      <c r="D8" s="58">
        <f>B8</f>
        <v>2.204724409448819</v>
      </c>
      <c r="E8" s="58">
        <f t="shared" ref="E8:E9" si="0">B8-D8</f>
        <v>0</v>
      </c>
      <c r="F8" s="58">
        <f>C8-D8</f>
        <v>5.118110236219664E-4</v>
      </c>
      <c r="H8" s="58">
        <f>B8*25.4</f>
        <v>56</v>
      </c>
      <c r="I8" s="58">
        <f t="shared" ref="I8" si="1">C8*25.4</f>
        <v>56.012999999999998</v>
      </c>
      <c r="J8" s="58">
        <f t="shared" ref="J8" si="2">D8*25.4</f>
        <v>56</v>
      </c>
      <c r="M8" s="9">
        <v>56.033000000000001</v>
      </c>
      <c r="N8" s="82">
        <f>M8/25.4</f>
        <v>2.2060236220472444</v>
      </c>
    </row>
    <row r="9" spans="1:24" ht="15" customHeight="1">
      <c r="A9" s="58" t="s">
        <v>290</v>
      </c>
      <c r="B9" s="58">
        <f>MIN(X18:AG29)</f>
        <v>0.72445000000000004</v>
      </c>
      <c r="C9" s="58">
        <f>MAX(X18:AG29)</f>
        <v>0.72519999999999996</v>
      </c>
      <c r="D9" s="58">
        <f>ROUND(AVERAGE(X18:AG29),4)</f>
        <v>0.72489999999999999</v>
      </c>
      <c r="E9" s="58">
        <f t="shared" si="0"/>
        <v>-4.4999999999995044E-4</v>
      </c>
      <c r="F9" s="58">
        <f>C9-D9</f>
        <v>2.9999999999996696E-4</v>
      </c>
      <c r="J9" s="9"/>
      <c r="K9" s="9"/>
      <c r="L9" s="9"/>
    </row>
    <row r="10" spans="1:24" ht="15" customHeight="1">
      <c r="J10" s="9"/>
      <c r="K10" s="9"/>
      <c r="L10" s="9"/>
      <c r="Q10" s="9">
        <f>1-0.0473</f>
        <v>0.95269999999999999</v>
      </c>
    </row>
    <row r="11" spans="1:24" ht="15" customHeight="1">
      <c r="A11" s="58" t="s">
        <v>291</v>
      </c>
      <c r="B11" s="58">
        <f>MIN(AI31:AR42)</f>
        <v>0.82674999999999998</v>
      </c>
      <c r="C11" s="58">
        <f>MAX(AI31:AR42)</f>
        <v>0.82674999999999998</v>
      </c>
      <c r="D11" s="58">
        <f>AVERAGE(AI31:AR42)</f>
        <v>0.8267500000000001</v>
      </c>
      <c r="E11" s="58">
        <f>B11-D11</f>
        <v>0</v>
      </c>
      <c r="F11" s="58">
        <f>C11-D11</f>
        <v>0</v>
      </c>
      <c r="J11" s="9"/>
      <c r="K11" s="9"/>
      <c r="L11" s="9"/>
      <c r="W11" s="9">
        <f>W18*25.4</f>
        <v>0</v>
      </c>
    </row>
    <row r="12" spans="1:24" ht="15" customHeight="1">
      <c r="A12" s="58" t="s">
        <v>292</v>
      </c>
      <c r="B12" s="58">
        <f>MIN(M31:V42)</f>
        <v>2.2044500000000005</v>
      </c>
      <c r="C12" s="58">
        <f>MAX(M31:V42)</f>
        <v>2.2051499999999997</v>
      </c>
      <c r="D12" s="58">
        <f>ROUND(AVERAGE(M21:U32),4)</f>
        <v>2.2048000000000001</v>
      </c>
      <c r="E12" s="58">
        <f t="shared" ref="E12:E13" si="3">B12-D12</f>
        <v>-3.4999999999962839E-4</v>
      </c>
      <c r="F12" s="58">
        <f>C12-D12</f>
        <v>3.4999999999962839E-4</v>
      </c>
      <c r="H12" s="58">
        <f>B12*25.4</f>
        <v>55.993030000000012</v>
      </c>
      <c r="I12" s="58">
        <f t="shared" ref="I12:J12" si="4">C12*25.4</f>
        <v>56.010809999999992</v>
      </c>
      <c r="J12" s="58">
        <f t="shared" si="4"/>
        <v>56.001919999999998</v>
      </c>
      <c r="Q12" s="58"/>
      <c r="W12" s="9">
        <f>W19*25.4</f>
        <v>0</v>
      </c>
    </row>
    <row r="13" spans="1:24" ht="15" customHeight="1">
      <c r="A13" s="58" t="s">
        <v>293</v>
      </c>
      <c r="B13" s="58">
        <f>MIN(X31:AG42)</f>
        <v>0.72489999999999999</v>
      </c>
      <c r="C13" s="58">
        <f>MAX(X31:AG42)</f>
        <v>0.72514999999999996</v>
      </c>
      <c r="D13" s="58">
        <f>ROUND(AVERAGE(X31:AG42),4)</f>
        <v>0.72499999999999998</v>
      </c>
      <c r="E13" s="58">
        <f t="shared" si="3"/>
        <v>-9.9999999999988987E-5</v>
      </c>
      <c r="F13" s="58">
        <f>C13-D13</f>
        <v>1.4999999999998348E-4</v>
      </c>
    </row>
    <row r="14" spans="1:24" ht="15" customHeight="1">
      <c r="M14" s="58"/>
      <c r="N14" s="58"/>
    </row>
    <row r="16" spans="1:24" ht="15" customHeight="1">
      <c r="A16" s="58" t="s">
        <v>294</v>
      </c>
    </row>
    <row r="17" spans="1:44" ht="15" customHeight="1">
      <c r="B17" s="58" t="s">
        <v>295</v>
      </c>
      <c r="C17" s="58" t="s">
        <v>296</v>
      </c>
      <c r="D17" s="58" t="s">
        <v>297</v>
      </c>
      <c r="E17" s="58" t="s">
        <v>298</v>
      </c>
      <c r="F17" s="58" t="s">
        <v>299</v>
      </c>
      <c r="G17" s="58" t="s">
        <v>300</v>
      </c>
      <c r="H17" s="58" t="s">
        <v>301</v>
      </c>
      <c r="I17" s="58" t="s">
        <v>302</v>
      </c>
      <c r="J17" s="58" t="s">
        <v>303</v>
      </c>
      <c r="K17" s="58" t="s">
        <v>304</v>
      </c>
      <c r="M17" s="58" t="s">
        <v>305</v>
      </c>
      <c r="N17" s="58" t="s">
        <v>306</v>
      </c>
      <c r="O17" s="58" t="s">
        <v>307</v>
      </c>
      <c r="P17" s="58" t="s">
        <v>308</v>
      </c>
      <c r="Q17" s="58" t="s">
        <v>309</v>
      </c>
      <c r="R17" s="58" t="s">
        <v>310</v>
      </c>
      <c r="S17" s="58" t="s">
        <v>311</v>
      </c>
      <c r="T17" s="58" t="s">
        <v>312</v>
      </c>
      <c r="U17" s="58" t="s">
        <v>313</v>
      </c>
      <c r="V17" s="58" t="s">
        <v>314</v>
      </c>
      <c r="X17" s="58" t="s">
        <v>315</v>
      </c>
      <c r="Y17" s="58" t="s">
        <v>316</v>
      </c>
      <c r="Z17" s="58" t="s">
        <v>317</v>
      </c>
      <c r="AA17" s="58" t="s">
        <v>318</v>
      </c>
      <c r="AB17" s="58" t="s">
        <v>319</v>
      </c>
      <c r="AC17" s="58" t="s">
        <v>320</v>
      </c>
      <c r="AD17" s="58" t="s">
        <v>321</v>
      </c>
      <c r="AE17" s="58" t="s">
        <v>322</v>
      </c>
      <c r="AF17" s="58" t="s">
        <v>323</v>
      </c>
      <c r="AG17" s="58" t="s">
        <v>324</v>
      </c>
      <c r="AI17" s="58" t="s">
        <v>325</v>
      </c>
      <c r="AJ17" s="58" t="s">
        <v>326</v>
      </c>
      <c r="AK17" s="58" t="s">
        <v>327</v>
      </c>
      <c r="AL17" s="58" t="s">
        <v>328</v>
      </c>
      <c r="AM17" s="58" t="s">
        <v>329</v>
      </c>
      <c r="AN17" s="58" t="s">
        <v>330</v>
      </c>
      <c r="AO17" s="58" t="s">
        <v>331</v>
      </c>
      <c r="AP17" s="58" t="s">
        <v>332</v>
      </c>
      <c r="AQ17" s="58" t="s">
        <v>333</v>
      </c>
      <c r="AR17" s="58" t="s">
        <v>334</v>
      </c>
    </row>
    <row r="18" spans="1:44" ht="15" customHeight="1">
      <c r="A18" s="58" t="s">
        <v>199</v>
      </c>
      <c r="B18" s="58">
        <v>2.0087000000000002</v>
      </c>
      <c r="C18" s="58">
        <v>2.0085999999999999</v>
      </c>
      <c r="D18" s="58">
        <v>2.0085999999999999</v>
      </c>
      <c r="E18" s="58">
        <v>2.0087000000000002</v>
      </c>
      <c r="F18" s="58">
        <v>2.0087000000000002</v>
      </c>
      <c r="G18" s="58">
        <v>2.0085999999999999</v>
      </c>
      <c r="H18" s="58">
        <v>2.0085999999999999</v>
      </c>
      <c r="I18" s="58">
        <v>2.0085999999999999</v>
      </c>
      <c r="M18" s="58">
        <f t="shared" ref="M18:T18" si="5">B18+$B$2-$B$3</f>
        <v>2.20505</v>
      </c>
      <c r="N18" s="58">
        <f t="shared" si="5"/>
        <v>2.2049500000000002</v>
      </c>
      <c r="O18" s="58">
        <f t="shared" si="5"/>
        <v>2.2049500000000002</v>
      </c>
      <c r="P18" s="58">
        <f t="shared" si="5"/>
        <v>2.20505</v>
      </c>
      <c r="Q18" s="58">
        <f t="shared" si="5"/>
        <v>2.20505</v>
      </c>
      <c r="R18" s="58">
        <f t="shared" si="5"/>
        <v>2.2049500000000002</v>
      </c>
      <c r="S18" s="58">
        <f t="shared" si="5"/>
        <v>2.2049500000000002</v>
      </c>
      <c r="T18" s="58">
        <f t="shared" si="5"/>
        <v>2.2049500000000002</v>
      </c>
      <c r="U18" s="58"/>
      <c r="V18" s="58"/>
      <c r="W18" s="58"/>
      <c r="X18" s="58">
        <v>0.72504999999999997</v>
      </c>
      <c r="Y18" s="58">
        <v>0.72514999999999996</v>
      </c>
      <c r="Z18" s="58">
        <v>0.72445000000000004</v>
      </c>
      <c r="AA18" s="58">
        <v>0.72499999999999998</v>
      </c>
      <c r="AB18" s="58">
        <v>0.7248</v>
      </c>
      <c r="AC18" s="58">
        <v>0.72519999999999996</v>
      </c>
      <c r="AD18" s="58">
        <v>0.72465000000000002</v>
      </c>
      <c r="AE18" s="58">
        <v>0.72450000000000003</v>
      </c>
      <c r="AF18" s="58"/>
      <c r="AG18" s="58"/>
      <c r="AH18" s="58"/>
      <c r="AI18" s="9">
        <v>0.82674999999999998</v>
      </c>
      <c r="AJ18" s="9">
        <v>0.82674999999999998</v>
      </c>
      <c r="AK18" s="9">
        <v>0.82674999999999998</v>
      </c>
      <c r="AL18" s="9">
        <v>0.82674999999999998</v>
      </c>
      <c r="AM18" s="9">
        <v>0.82674999999999998</v>
      </c>
      <c r="AN18" s="9">
        <v>0.82674999999999998</v>
      </c>
      <c r="AO18" s="9">
        <v>0.82674999999999998</v>
      </c>
      <c r="AP18" s="9">
        <v>0.82674999999999998</v>
      </c>
    </row>
    <row r="19" spans="1:44" ht="15" customHeight="1">
      <c r="A19" s="58" t="s">
        <v>200</v>
      </c>
      <c r="B19" s="58">
        <v>2.0093999999999999</v>
      </c>
      <c r="C19" s="58">
        <v>2.0095000000000001</v>
      </c>
      <c r="D19" s="58">
        <v>2.0091999999999999</v>
      </c>
      <c r="E19" s="58">
        <v>2.00915</v>
      </c>
      <c r="F19" s="58">
        <v>2.0093000000000001</v>
      </c>
      <c r="G19" s="58">
        <v>2.0091999999999999</v>
      </c>
      <c r="H19" s="58">
        <v>2.0091000000000001</v>
      </c>
      <c r="I19" s="58">
        <v>2.0091999999999999</v>
      </c>
      <c r="J19" s="58">
        <v>2.0091000000000001</v>
      </c>
      <c r="K19" s="58">
        <v>2.0091000000000001</v>
      </c>
      <c r="M19" s="58">
        <v>2.2052</v>
      </c>
      <c r="N19" s="58">
        <v>2.2048000000000001</v>
      </c>
      <c r="O19" s="58">
        <v>2.2050000000000001</v>
      </c>
      <c r="P19" s="58">
        <v>2.2048000000000001</v>
      </c>
      <c r="Q19" s="58">
        <v>2.2052</v>
      </c>
      <c r="R19" s="58">
        <v>2.2048999999999999</v>
      </c>
      <c r="S19" s="58">
        <v>2.2048000000000001</v>
      </c>
      <c r="T19" s="58">
        <v>2.2050000000000001</v>
      </c>
      <c r="U19" s="58">
        <v>2.2050000000000001</v>
      </c>
      <c r="V19" s="58">
        <v>2.2050000000000001</v>
      </c>
      <c r="W19" s="58"/>
      <c r="X19" s="58">
        <v>0.72489999999999999</v>
      </c>
      <c r="Y19" s="58">
        <v>0.72519999999999996</v>
      </c>
      <c r="Z19" s="58">
        <v>0.72504999999999997</v>
      </c>
      <c r="AA19" s="58">
        <v>0.72519999999999996</v>
      </c>
      <c r="AB19" s="58">
        <v>0.72484999999999999</v>
      </c>
      <c r="AC19" s="58">
        <v>0.72509999999999997</v>
      </c>
      <c r="AD19" s="58">
        <v>0.72494999999999998</v>
      </c>
      <c r="AE19" s="58">
        <v>0.72470000000000001</v>
      </c>
      <c r="AF19" s="58">
        <v>0.72509999999999997</v>
      </c>
      <c r="AG19" s="58">
        <v>0.72514999999999996</v>
      </c>
      <c r="AH19" s="58"/>
    </row>
    <row r="20" spans="1:44" ht="15" customHeight="1">
      <c r="A20" s="58" t="s">
        <v>201</v>
      </c>
      <c r="B20" s="58">
        <v>2.0091999999999999</v>
      </c>
      <c r="C20" s="58">
        <v>2.0095999999999998</v>
      </c>
      <c r="D20" s="58">
        <v>2.0093999999999999</v>
      </c>
      <c r="E20" s="58">
        <v>2.0095999999999998</v>
      </c>
      <c r="F20" s="58">
        <v>2.0093000000000001</v>
      </c>
      <c r="G20" s="58">
        <v>2.0093000000000001</v>
      </c>
      <c r="H20" s="58">
        <v>2.0093000000000001</v>
      </c>
      <c r="I20" s="58">
        <v>2.0091999999999999</v>
      </c>
      <c r="M20" s="58">
        <v>2.2050999999999998</v>
      </c>
      <c r="N20" s="58">
        <v>2.2052999999999998</v>
      </c>
      <c r="O20" s="58">
        <v>2.2051500000000002</v>
      </c>
      <c r="P20" s="58">
        <v>2.2054</v>
      </c>
      <c r="Q20" s="58">
        <v>2.2051500000000002</v>
      </c>
      <c r="R20" s="58">
        <v>2.2050999999999998</v>
      </c>
      <c r="S20" s="58">
        <v>2.2051500000000002</v>
      </c>
      <c r="T20" s="58">
        <v>2.2052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44" ht="15" customHeight="1">
      <c r="A21" s="58" t="s">
        <v>202</v>
      </c>
      <c r="O21" s="9"/>
      <c r="P21" s="9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44" ht="15" customHeight="1">
      <c r="A22" s="58" t="s">
        <v>203</v>
      </c>
      <c r="M22" s="58"/>
      <c r="N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44" ht="15" customHeight="1">
      <c r="A23" s="58" t="s">
        <v>204</v>
      </c>
      <c r="M23" s="58"/>
      <c r="N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44" ht="15" customHeight="1">
      <c r="A24" s="58" t="s">
        <v>205</v>
      </c>
      <c r="M24" s="58"/>
      <c r="N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44" ht="15" customHeight="1">
      <c r="A25" s="58" t="s">
        <v>206</v>
      </c>
      <c r="M25" s="58"/>
      <c r="N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44" ht="15" customHeight="1">
      <c r="A26" s="58" t="s">
        <v>207</v>
      </c>
      <c r="M26" s="58"/>
      <c r="N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44" ht="15" customHeight="1">
      <c r="A27" s="58" t="s">
        <v>208</v>
      </c>
      <c r="M27" s="58"/>
      <c r="N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44" ht="15" customHeight="1">
      <c r="A28" s="58" t="s">
        <v>209</v>
      </c>
      <c r="M28" s="58"/>
      <c r="N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44" ht="15" customHeight="1">
      <c r="A29" s="58" t="s">
        <v>210</v>
      </c>
      <c r="M29" s="58"/>
      <c r="N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1" spans="1:44">
      <c r="A31" s="58" t="s">
        <v>335</v>
      </c>
      <c r="B31" s="58">
        <v>2.0081500000000001</v>
      </c>
      <c r="C31" s="58">
        <v>2.0082</v>
      </c>
      <c r="D31" s="58">
        <v>2.0081000000000002</v>
      </c>
      <c r="E31" s="58">
        <v>2.0081000000000002</v>
      </c>
      <c r="F31" s="58">
        <v>2.0081000000000002</v>
      </c>
      <c r="G31" s="58">
        <v>2.0082</v>
      </c>
      <c r="H31" s="58">
        <v>2.0082</v>
      </c>
      <c r="I31" s="58">
        <v>2.0082</v>
      </c>
      <c r="M31" s="58">
        <f t="shared" ref="M31:T32" si="6">B31+$B$2-$B$3</f>
        <v>2.2045000000000003</v>
      </c>
      <c r="N31" s="58">
        <f t="shared" si="6"/>
        <v>2.2045500000000002</v>
      </c>
      <c r="O31" s="58">
        <f t="shared" si="6"/>
        <v>2.2044500000000005</v>
      </c>
      <c r="P31" s="58">
        <f t="shared" si="6"/>
        <v>2.2044500000000005</v>
      </c>
      <c r="Q31" s="58">
        <f t="shared" si="6"/>
        <v>2.2044500000000005</v>
      </c>
      <c r="R31" s="58">
        <f t="shared" si="6"/>
        <v>2.2045500000000002</v>
      </c>
      <c r="S31" s="58">
        <f t="shared" si="6"/>
        <v>2.2045500000000002</v>
      </c>
      <c r="T31" s="58">
        <f t="shared" si="6"/>
        <v>2.2045500000000002</v>
      </c>
      <c r="X31" s="58">
        <v>0.72499999999999998</v>
      </c>
      <c r="Y31" s="58">
        <v>0.72509999999999997</v>
      </c>
      <c r="Z31" s="58">
        <v>0.72499999999999998</v>
      </c>
      <c r="AA31" s="58">
        <v>0.72499999999999998</v>
      </c>
      <c r="AB31" s="58">
        <v>0.72489999999999999</v>
      </c>
      <c r="AC31" s="58">
        <v>0.72504999999999997</v>
      </c>
      <c r="AD31" s="58">
        <v>0.72504999999999997</v>
      </c>
      <c r="AE31" s="58">
        <v>0.72499999999999998</v>
      </c>
      <c r="AI31" s="9">
        <v>0.82674999999999998</v>
      </c>
      <c r="AJ31" s="9">
        <v>0.82674999999999998</v>
      </c>
      <c r="AK31" s="9">
        <v>0.82674999999999998</v>
      </c>
      <c r="AL31" s="9">
        <v>0.82674999999999998</v>
      </c>
      <c r="AM31" s="9">
        <v>0.82674999999999998</v>
      </c>
      <c r="AN31" s="9">
        <v>0.82674999999999998</v>
      </c>
      <c r="AO31" s="9">
        <v>0.82674999999999998</v>
      </c>
      <c r="AP31" s="9">
        <v>0.82674999999999998</v>
      </c>
    </row>
    <row r="32" spans="1:44">
      <c r="A32" s="58" t="s">
        <v>336</v>
      </c>
      <c r="B32" s="58">
        <v>2.0087999999999999</v>
      </c>
      <c r="C32" s="58">
        <v>2.0087999999999999</v>
      </c>
      <c r="D32" s="58">
        <v>2.0087000000000002</v>
      </c>
      <c r="E32" s="58">
        <v>2.0085999999999999</v>
      </c>
      <c r="F32" s="58">
        <v>2.0087000000000002</v>
      </c>
      <c r="G32" s="58">
        <v>2.0085999999999999</v>
      </c>
      <c r="H32" s="58">
        <v>2.0085999999999999</v>
      </c>
      <c r="I32" s="58">
        <v>2.0087999999999999</v>
      </c>
      <c r="M32" s="58">
        <f t="shared" si="6"/>
        <v>2.2051499999999997</v>
      </c>
      <c r="N32" s="58">
        <f t="shared" si="6"/>
        <v>2.2051499999999997</v>
      </c>
      <c r="O32" s="58">
        <f t="shared" si="6"/>
        <v>2.20505</v>
      </c>
      <c r="P32" s="58">
        <f t="shared" si="6"/>
        <v>2.2049500000000002</v>
      </c>
      <c r="Q32" s="58">
        <f t="shared" si="6"/>
        <v>2.20505</v>
      </c>
      <c r="R32" s="58">
        <f t="shared" si="6"/>
        <v>2.2049500000000002</v>
      </c>
      <c r="S32" s="58">
        <f t="shared" si="6"/>
        <v>2.2049500000000002</v>
      </c>
      <c r="T32" s="58">
        <f t="shared" si="6"/>
        <v>2.2051499999999997</v>
      </c>
      <c r="X32" s="58">
        <v>0.72509999999999997</v>
      </c>
      <c r="Y32" s="58">
        <v>0.72499999999999998</v>
      </c>
      <c r="Z32" s="58">
        <v>0.72499999999999998</v>
      </c>
      <c r="AA32" s="58">
        <v>0.72499999999999998</v>
      </c>
      <c r="AB32" s="58">
        <v>0.72514999999999996</v>
      </c>
      <c r="AC32" s="58">
        <v>0.72499999999999998</v>
      </c>
      <c r="AD32" s="58">
        <v>0.72499999999999998</v>
      </c>
      <c r="AE32" s="58">
        <v>0.72499999999999998</v>
      </c>
      <c r="AH32" s="58"/>
      <c r="AI32" s="9">
        <v>0.82674999999999998</v>
      </c>
      <c r="AJ32" s="9">
        <v>0.82674999999999998</v>
      </c>
      <c r="AK32" s="9">
        <v>0.82674999999999998</v>
      </c>
      <c r="AL32" s="9">
        <v>0.82674999999999998</v>
      </c>
      <c r="AM32" s="9">
        <v>0.82674999999999998</v>
      </c>
      <c r="AN32" s="9">
        <v>0.82674999999999998</v>
      </c>
      <c r="AO32" s="9">
        <v>0.82674999999999998</v>
      </c>
      <c r="AP32" s="9">
        <v>0.82674999999999998</v>
      </c>
    </row>
    <row r="33" spans="1:1" s="9" customFormat="1">
      <c r="A33" s="58" t="s">
        <v>337</v>
      </c>
    </row>
    <row r="34" spans="1:1" s="9" customFormat="1">
      <c r="A34" s="58" t="s">
        <v>338</v>
      </c>
    </row>
    <row r="35" spans="1:1" s="9" customFormat="1">
      <c r="A35" s="58" t="s">
        <v>339</v>
      </c>
    </row>
    <row r="36" spans="1:1" s="9" customFormat="1">
      <c r="A36" s="58" t="s">
        <v>340</v>
      </c>
    </row>
    <row r="37" spans="1:1" s="9" customFormat="1">
      <c r="A37" s="58" t="s">
        <v>341</v>
      </c>
    </row>
    <row r="38" spans="1:1" s="9" customFormat="1">
      <c r="A38" s="58" t="s">
        <v>342</v>
      </c>
    </row>
    <row r="39" spans="1:1" s="9" customFormat="1">
      <c r="A39" s="58" t="s">
        <v>343</v>
      </c>
    </row>
    <row r="40" spans="1:1" s="9" customFormat="1">
      <c r="A40" s="58" t="s">
        <v>344</v>
      </c>
    </row>
    <row r="41" spans="1:1" s="9" customFormat="1">
      <c r="A41" s="58" t="s">
        <v>345</v>
      </c>
    </row>
    <row r="42" spans="1:1" s="9" customFormat="1">
      <c r="A42" s="58" t="s">
        <v>346</v>
      </c>
    </row>
    <row r="52" spans="7:7" s="9" customFormat="1">
      <c r="G52" s="81"/>
    </row>
    <row r="53" spans="7:7" s="9" customFormat="1">
      <c r="G53" s="81"/>
    </row>
    <row r="54" spans="7:7" s="9" customFormat="1">
      <c r="G54" s="81"/>
    </row>
    <row r="55" spans="7:7" s="9" customFormat="1">
      <c r="G55" s="81"/>
    </row>
    <row r="56" spans="7:7" s="9" customFormat="1">
      <c r="G56" s="81"/>
    </row>
    <row r="57" spans="7:7" s="9" customFormat="1">
      <c r="G57" s="81"/>
    </row>
    <row r="58" spans="7:7" s="9" customFormat="1">
      <c r="G58" s="81"/>
    </row>
    <row r="59" spans="7:7" s="9" customFormat="1">
      <c r="G59" s="81"/>
    </row>
    <row r="60" spans="7:7" s="9" customFormat="1">
      <c r="G60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166"/>
  <sheetViews>
    <sheetView workbookViewId="0">
      <selection activeCell="AG34" sqref="AG34"/>
    </sheetView>
  </sheetViews>
  <sheetFormatPr defaultRowHeight="15"/>
  <cols>
    <col min="16" max="23" width="9.140625" style="9"/>
  </cols>
  <sheetData>
    <row r="1" spans="1:37" s="9" customFormat="1" ht="15" customHeight="1">
      <c r="A1" s="58" t="s">
        <v>239</v>
      </c>
      <c r="B1" s="9" t="s">
        <v>352</v>
      </c>
      <c r="C1" s="83" t="s">
        <v>175</v>
      </c>
      <c r="D1" s="83" t="s">
        <v>176</v>
      </c>
      <c r="E1" s="83" t="s">
        <v>177</v>
      </c>
      <c r="F1" s="83" t="s">
        <v>178</v>
      </c>
      <c r="G1" s="83" t="s">
        <v>179</v>
      </c>
      <c r="H1" s="83" t="s">
        <v>180</v>
      </c>
      <c r="I1" s="83" t="s">
        <v>181</v>
      </c>
      <c r="J1" s="83" t="s">
        <v>182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7" s="9" customFormat="1" ht="15" customHeight="1">
      <c r="A2" s="58"/>
      <c r="B2" s="9" t="s">
        <v>241</v>
      </c>
      <c r="C2" s="58">
        <v>76.400000000000006</v>
      </c>
      <c r="D2" s="58">
        <v>76.3</v>
      </c>
      <c r="E2" s="58">
        <v>76.2</v>
      </c>
      <c r="F2" s="58">
        <v>76.099999999999994</v>
      </c>
      <c r="G2" s="58">
        <v>76</v>
      </c>
      <c r="H2" s="58">
        <v>76.099999999999994</v>
      </c>
      <c r="I2" s="58">
        <v>76.099999999999994</v>
      </c>
      <c r="J2" s="58">
        <v>76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Y2" s="101" t="s">
        <v>270</v>
      </c>
      <c r="Z2" s="101"/>
      <c r="AA2" s="101"/>
      <c r="AB2" s="101"/>
      <c r="AC2" s="101"/>
      <c r="AD2" s="101"/>
      <c r="AE2" s="101"/>
      <c r="AF2" s="101"/>
    </row>
    <row r="3" spans="1:37" s="9" customFormat="1" ht="15" customHeight="1">
      <c r="A3" s="58"/>
      <c r="B3" s="89" t="s">
        <v>364</v>
      </c>
      <c r="C3" s="83" t="s">
        <v>175</v>
      </c>
      <c r="D3" s="83" t="s">
        <v>176</v>
      </c>
      <c r="E3" s="83" t="s">
        <v>177</v>
      </c>
      <c r="F3" s="83" t="s">
        <v>178</v>
      </c>
      <c r="G3" s="83" t="s">
        <v>179</v>
      </c>
      <c r="H3" s="83" t="s">
        <v>180</v>
      </c>
      <c r="I3" s="83" t="s">
        <v>181</v>
      </c>
      <c r="J3" s="83" t="s">
        <v>182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P3" s="53"/>
      <c r="Q3" s="53"/>
      <c r="R3" s="53"/>
      <c r="S3" s="53"/>
      <c r="T3" s="53"/>
      <c r="U3" s="53"/>
      <c r="Y3" s="78" t="s">
        <v>175</v>
      </c>
      <c r="Z3" s="78" t="s">
        <v>176</v>
      </c>
      <c r="AA3" s="78" t="s">
        <v>177</v>
      </c>
      <c r="AB3" s="78" t="s">
        <v>178</v>
      </c>
      <c r="AC3" s="78" t="s">
        <v>179</v>
      </c>
      <c r="AD3" s="78" t="s">
        <v>180</v>
      </c>
      <c r="AE3" s="78" t="s">
        <v>181</v>
      </c>
      <c r="AF3" s="78" t="s">
        <v>182</v>
      </c>
      <c r="AG3" s="53"/>
      <c r="AH3" s="53"/>
      <c r="AI3" s="53"/>
      <c r="AJ3" s="53"/>
      <c r="AK3" s="53"/>
    </row>
    <row r="4" spans="1:37" s="9" customFormat="1" ht="15" customHeight="1">
      <c r="A4" s="84">
        <v>5</v>
      </c>
      <c r="B4" s="84">
        <v>5</v>
      </c>
      <c r="C4" s="58">
        <v>2.2048999999999999</v>
      </c>
      <c r="D4" s="58">
        <v>2.2049500000000002</v>
      </c>
      <c r="E4" s="58">
        <v>2.2052</v>
      </c>
      <c r="F4" s="58">
        <v>2.2050000000000001</v>
      </c>
      <c r="G4" s="58">
        <v>2.2050999999999998</v>
      </c>
      <c r="H4" s="58">
        <v>2.2050999999999998</v>
      </c>
      <c r="I4" s="58">
        <v>2.2051500000000002</v>
      </c>
      <c r="J4" s="58">
        <v>2.2050999999999998</v>
      </c>
      <c r="K4" s="58">
        <f t="shared" ref="K4:K10" si="0">MIN(C4:J4)</f>
        <v>2.2048999999999999</v>
      </c>
      <c r="L4" s="58">
        <f t="shared" ref="L4:L10" si="1">MAX(C4:J4)</f>
        <v>2.2052</v>
      </c>
      <c r="M4" s="58">
        <f t="shared" ref="M4:M10" si="2">MODE(C4:J4)</f>
        <v>2.2050999999999998</v>
      </c>
      <c r="N4" s="58">
        <f t="shared" ref="N4:N10" si="3">K4-M4</f>
        <v>-1.9999999999997797E-4</v>
      </c>
      <c r="O4" s="58">
        <f t="shared" ref="O4:O10" si="4">L4-M4</f>
        <v>1.0000000000021103E-4</v>
      </c>
      <c r="P4" s="58"/>
      <c r="Q4" s="84">
        <v>5</v>
      </c>
      <c r="R4" s="84">
        <v>5</v>
      </c>
      <c r="S4" s="84">
        <v>5</v>
      </c>
      <c r="T4" s="84">
        <v>5</v>
      </c>
      <c r="U4" s="84">
        <v>5</v>
      </c>
      <c r="V4" s="84">
        <v>5</v>
      </c>
      <c r="W4" s="84">
        <v>5</v>
      </c>
      <c r="X4" s="84">
        <v>5</v>
      </c>
      <c r="Y4" s="58">
        <f>AVERAGE(C4,C10)-AVERAGE(C$4,C$10)</f>
        <v>0</v>
      </c>
      <c r="Z4" s="58">
        <f t="shared" ref="Z4:AF4" si="5">AVERAGE(D4,D10)-AVERAGE(D$4,D$10)</f>
        <v>0</v>
      </c>
      <c r="AA4" s="58">
        <f t="shared" si="5"/>
        <v>0</v>
      </c>
      <c r="AB4" s="58">
        <f t="shared" si="5"/>
        <v>0</v>
      </c>
      <c r="AC4" s="58">
        <f t="shared" si="5"/>
        <v>0</v>
      </c>
      <c r="AD4" s="58">
        <f t="shared" si="5"/>
        <v>0</v>
      </c>
      <c r="AE4" s="58">
        <f t="shared" si="5"/>
        <v>0</v>
      </c>
      <c r="AF4" s="58">
        <f t="shared" si="5"/>
        <v>0</v>
      </c>
      <c r="AG4" s="58"/>
      <c r="AH4" s="58"/>
      <c r="AI4" s="58"/>
      <c r="AJ4" s="58"/>
      <c r="AK4" s="58"/>
    </row>
    <row r="5" spans="1:37" s="9" customFormat="1" ht="15" customHeight="1">
      <c r="A5" s="84">
        <v>19.75</v>
      </c>
      <c r="B5" s="84">
        <v>19.75</v>
      </c>
      <c r="C5" s="58">
        <v>2.2048999999999999</v>
      </c>
      <c r="D5" s="58">
        <v>2.2050000000000001</v>
      </c>
      <c r="E5" s="58">
        <v>2.2050999999999998</v>
      </c>
      <c r="F5" s="58">
        <v>2.2050000000000001</v>
      </c>
      <c r="G5" s="58">
        <v>2.2050000000000001</v>
      </c>
      <c r="H5" s="58">
        <v>2.2052</v>
      </c>
      <c r="I5" s="58">
        <v>2.2050999999999998</v>
      </c>
      <c r="J5" s="58">
        <v>2.2050999999999998</v>
      </c>
      <c r="K5" s="58">
        <f t="shared" si="0"/>
        <v>2.2048999999999999</v>
      </c>
      <c r="L5" s="58">
        <f t="shared" si="1"/>
        <v>2.2052</v>
      </c>
      <c r="M5" s="58">
        <f t="shared" si="2"/>
        <v>2.2050000000000001</v>
      </c>
      <c r="N5" s="58">
        <f t="shared" si="3"/>
        <v>-1.0000000000021103E-4</v>
      </c>
      <c r="O5" s="58">
        <f t="shared" si="4"/>
        <v>1.9999999999997797E-4</v>
      </c>
      <c r="P5" s="58"/>
      <c r="Q5" s="84">
        <v>19.75</v>
      </c>
      <c r="R5" s="84">
        <v>19.75</v>
      </c>
      <c r="S5" s="84">
        <v>19.75</v>
      </c>
      <c r="T5" s="84">
        <v>19.75</v>
      </c>
      <c r="U5" s="84">
        <v>19.75</v>
      </c>
      <c r="V5" s="84">
        <v>19.75</v>
      </c>
      <c r="W5" s="84">
        <v>19.75</v>
      </c>
      <c r="X5" s="84">
        <v>19.75</v>
      </c>
      <c r="Y5" s="58">
        <f>AVERAGE(C5,C9)-AVERAGE(C$4,C$10)</f>
        <v>0</v>
      </c>
      <c r="Z5" s="58">
        <f t="shared" ref="Z5:AF5" si="6">AVERAGE(D5,D9)-AVERAGE(D$4,D$10)</f>
        <v>7.4999999999825206E-5</v>
      </c>
      <c r="AA5" s="58">
        <f t="shared" si="6"/>
        <v>-5.000000000032756E-5</v>
      </c>
      <c r="AB5" s="58">
        <f t="shared" si="6"/>
        <v>0</v>
      </c>
      <c r="AC5" s="58">
        <f t="shared" si="6"/>
        <v>-4.9999999999883471E-5</v>
      </c>
      <c r="AD5" s="58">
        <f t="shared" si="6"/>
        <v>0</v>
      </c>
      <c r="AE5" s="58">
        <f t="shared" si="6"/>
        <v>-2.4999999999941735E-5</v>
      </c>
      <c r="AF5" s="58">
        <f t="shared" si="6"/>
        <v>0</v>
      </c>
      <c r="AG5" s="58"/>
      <c r="AH5" s="58"/>
      <c r="AI5" s="58"/>
      <c r="AJ5" s="58"/>
      <c r="AK5" s="58"/>
    </row>
    <row r="6" spans="1:37" s="9" customFormat="1" ht="15" customHeight="1">
      <c r="A6" s="84">
        <v>45</v>
      </c>
      <c r="B6" s="84">
        <v>45</v>
      </c>
      <c r="C6" s="58">
        <v>2.2050000000000001</v>
      </c>
      <c r="D6" s="58">
        <v>2.2050999999999998</v>
      </c>
      <c r="E6" s="58">
        <v>2.2051500000000002</v>
      </c>
      <c r="F6" s="58">
        <v>2.2052</v>
      </c>
      <c r="G6" s="58">
        <v>2.2050000000000001</v>
      </c>
      <c r="H6" s="58">
        <v>2.2050000000000001</v>
      </c>
      <c r="I6" s="58">
        <v>2.2050000000000001</v>
      </c>
      <c r="J6" s="58">
        <v>2.2052</v>
      </c>
      <c r="K6" s="58">
        <f t="shared" si="0"/>
        <v>2.2050000000000001</v>
      </c>
      <c r="L6" s="58">
        <f t="shared" si="1"/>
        <v>2.2052</v>
      </c>
      <c r="M6" s="58">
        <f t="shared" si="2"/>
        <v>2.2050000000000001</v>
      </c>
      <c r="N6" s="58">
        <f t="shared" si="3"/>
        <v>0</v>
      </c>
      <c r="O6" s="58">
        <f t="shared" si="4"/>
        <v>1.9999999999997797E-4</v>
      </c>
      <c r="P6" s="58"/>
      <c r="Q6" s="84">
        <v>45</v>
      </c>
      <c r="R6" s="84">
        <v>45</v>
      </c>
      <c r="S6" s="84">
        <v>45</v>
      </c>
      <c r="T6" s="84">
        <v>45</v>
      </c>
      <c r="U6" s="84">
        <v>45</v>
      </c>
      <c r="V6" s="84">
        <v>45</v>
      </c>
      <c r="W6" s="84">
        <v>45</v>
      </c>
      <c r="X6" s="84">
        <v>45</v>
      </c>
      <c r="Y6" s="58">
        <f>AVERAGE(C6,C8)-AVERAGE(C$4,C$10)</f>
        <v>4.9999999999883471E-5</v>
      </c>
      <c r="Z6" s="58">
        <f t="shared" ref="Z6:AF6" si="7">AVERAGE(D6,D8)-AVERAGE(D$4,D$10)</f>
        <v>1.7499999999959215E-4</v>
      </c>
      <c r="AA6" s="58">
        <f t="shared" si="7"/>
        <v>-2.4999999999941735E-5</v>
      </c>
      <c r="AB6" s="58">
        <f t="shared" si="7"/>
        <v>1.9999999999997797E-4</v>
      </c>
      <c r="AC6" s="58">
        <f t="shared" si="7"/>
        <v>-9.9999999999766942E-5</v>
      </c>
      <c r="AD6" s="58">
        <f t="shared" si="7"/>
        <v>-1.2499999999970868E-4</v>
      </c>
      <c r="AE6" s="58">
        <f t="shared" si="7"/>
        <v>-1.2499999999970868E-4</v>
      </c>
      <c r="AF6" s="58">
        <f t="shared" si="7"/>
        <v>7.5000000000269296E-5</v>
      </c>
      <c r="AG6" s="58"/>
      <c r="AH6" s="58"/>
      <c r="AI6" s="58"/>
      <c r="AJ6" s="58"/>
      <c r="AK6" s="58"/>
    </row>
    <row r="7" spans="1:37" s="9" customFormat="1" ht="15" customHeight="1">
      <c r="A7" s="84">
        <v>90</v>
      </c>
      <c r="B7" s="84">
        <v>90</v>
      </c>
      <c r="C7" s="58">
        <v>2.2050999999999998</v>
      </c>
      <c r="D7" s="58">
        <v>2.2052999999999998</v>
      </c>
      <c r="E7" s="58">
        <v>2.2051500000000002</v>
      </c>
      <c r="F7" s="58">
        <v>2.2054</v>
      </c>
      <c r="G7" s="58">
        <v>2.2051500000000002</v>
      </c>
      <c r="H7" s="58">
        <v>2.2050999999999998</v>
      </c>
      <c r="I7" s="58">
        <v>2.2051500000000002</v>
      </c>
      <c r="J7" s="58">
        <v>2.2052</v>
      </c>
      <c r="K7" s="58">
        <f t="shared" si="0"/>
        <v>2.2050999999999998</v>
      </c>
      <c r="L7" s="58">
        <f t="shared" si="1"/>
        <v>2.2054</v>
      </c>
      <c r="M7" s="58">
        <f t="shared" si="2"/>
        <v>2.2051500000000002</v>
      </c>
      <c r="N7" s="58">
        <f t="shared" si="3"/>
        <v>-5.000000000032756E-5</v>
      </c>
      <c r="O7" s="58">
        <f t="shared" si="4"/>
        <v>2.4999999999986144E-4</v>
      </c>
      <c r="P7" s="58"/>
      <c r="Q7" s="84">
        <v>90</v>
      </c>
      <c r="R7" s="84">
        <v>90</v>
      </c>
      <c r="S7" s="84">
        <v>90</v>
      </c>
      <c r="T7" s="84">
        <v>90</v>
      </c>
      <c r="U7" s="84">
        <v>90</v>
      </c>
      <c r="V7" s="84">
        <v>90</v>
      </c>
      <c r="W7" s="84">
        <v>90</v>
      </c>
      <c r="X7" s="84">
        <v>90</v>
      </c>
      <c r="Y7" s="58">
        <f>C7-AVERAGE(C$4,C$10)</f>
        <v>1.4999999999965041E-4</v>
      </c>
      <c r="Z7" s="58">
        <f t="shared" ref="Z7:AF7" si="8">D7-AVERAGE(D$4,D$10)</f>
        <v>3.2499999999968665E-4</v>
      </c>
      <c r="AA7" s="58">
        <f t="shared" si="8"/>
        <v>-4.9999999999883471E-5</v>
      </c>
      <c r="AB7" s="58">
        <f t="shared" si="8"/>
        <v>3.9999999999995595E-4</v>
      </c>
      <c r="AC7" s="58">
        <f t="shared" si="8"/>
        <v>0</v>
      </c>
      <c r="AD7" s="58">
        <f t="shared" si="8"/>
        <v>-9.9999999999766942E-5</v>
      </c>
      <c r="AE7" s="58">
        <f t="shared" si="8"/>
        <v>2.5000000000385825E-5</v>
      </c>
      <c r="AF7" s="58">
        <f t="shared" si="8"/>
        <v>7.5000000000269296E-5</v>
      </c>
      <c r="AG7" s="58"/>
      <c r="AH7" s="58"/>
      <c r="AI7" s="58"/>
      <c r="AJ7" s="58"/>
      <c r="AK7" s="58"/>
    </row>
    <row r="8" spans="1:37" s="9" customFormat="1" ht="15" customHeight="1">
      <c r="A8" s="84">
        <v>135</v>
      </c>
      <c r="B8" s="84">
        <v>135</v>
      </c>
      <c r="C8" s="58">
        <v>2.2050000000000001</v>
      </c>
      <c r="D8" s="58">
        <v>2.2052</v>
      </c>
      <c r="E8" s="58">
        <v>2.2052</v>
      </c>
      <c r="F8" s="58">
        <v>2.2052</v>
      </c>
      <c r="G8" s="58">
        <v>2.2050999999999998</v>
      </c>
      <c r="H8" s="58">
        <v>2.2051500000000002</v>
      </c>
      <c r="I8" s="58">
        <v>2.2050000000000001</v>
      </c>
      <c r="J8" s="58">
        <v>2.2052</v>
      </c>
      <c r="K8" s="58">
        <f t="shared" si="0"/>
        <v>2.2050000000000001</v>
      </c>
      <c r="L8" s="58">
        <f t="shared" si="1"/>
        <v>2.2052</v>
      </c>
      <c r="M8" s="58">
        <f t="shared" si="2"/>
        <v>2.2052</v>
      </c>
      <c r="N8" s="58">
        <f t="shared" si="3"/>
        <v>-1.9999999999997797E-4</v>
      </c>
      <c r="O8" s="58">
        <f t="shared" si="4"/>
        <v>0</v>
      </c>
      <c r="P8" s="58"/>
      <c r="Q8" s="84">
        <v>135</v>
      </c>
      <c r="R8" s="84">
        <v>135</v>
      </c>
      <c r="S8" s="84">
        <v>135</v>
      </c>
      <c r="T8" s="84">
        <v>135</v>
      </c>
      <c r="U8" s="84">
        <v>135</v>
      </c>
      <c r="V8" s="84">
        <v>135</v>
      </c>
      <c r="W8" s="84">
        <v>135</v>
      </c>
      <c r="X8" s="84">
        <v>135</v>
      </c>
      <c r="Y8" s="58">
        <f>AVERAGE(C6,C8)-AVERAGE(C$4,C$10)</f>
        <v>4.9999999999883471E-5</v>
      </c>
      <c r="Z8" s="58">
        <f t="shared" ref="Z8:AF8" si="9">AVERAGE(D6,D8)-AVERAGE(D$4,D$10)</f>
        <v>1.7499999999959215E-4</v>
      </c>
      <c r="AA8" s="58">
        <f t="shared" si="9"/>
        <v>-2.4999999999941735E-5</v>
      </c>
      <c r="AB8" s="58">
        <f t="shared" si="9"/>
        <v>1.9999999999997797E-4</v>
      </c>
      <c r="AC8" s="58">
        <f t="shared" si="9"/>
        <v>-9.9999999999766942E-5</v>
      </c>
      <c r="AD8" s="58">
        <f t="shared" si="9"/>
        <v>-1.2499999999970868E-4</v>
      </c>
      <c r="AE8" s="58">
        <f t="shared" si="9"/>
        <v>-1.2499999999970868E-4</v>
      </c>
      <c r="AF8" s="58">
        <f t="shared" si="9"/>
        <v>7.5000000000269296E-5</v>
      </c>
      <c r="AG8" s="58"/>
      <c r="AH8" s="58"/>
      <c r="AI8" s="58"/>
      <c r="AJ8" s="58"/>
      <c r="AK8" s="58"/>
    </row>
    <row r="9" spans="1:37" s="9" customFormat="1" ht="15" customHeight="1">
      <c r="A9" s="84">
        <v>160.25</v>
      </c>
      <c r="B9" s="84">
        <v>160.25</v>
      </c>
      <c r="C9" s="58">
        <v>2.2050000000000001</v>
      </c>
      <c r="D9" s="58">
        <v>2.2050999999999998</v>
      </c>
      <c r="E9" s="58">
        <v>2.2052</v>
      </c>
      <c r="F9" s="58">
        <v>2.2050000000000001</v>
      </c>
      <c r="G9" s="58">
        <v>2.2052</v>
      </c>
      <c r="H9" s="58">
        <v>2.2052</v>
      </c>
      <c r="I9" s="58">
        <v>2.2050999999999998</v>
      </c>
      <c r="J9" s="58">
        <v>2.2051500000000002</v>
      </c>
      <c r="K9" s="58">
        <f t="shared" si="0"/>
        <v>2.2050000000000001</v>
      </c>
      <c r="L9" s="58">
        <f t="shared" si="1"/>
        <v>2.2052</v>
      </c>
      <c r="M9" s="58">
        <f t="shared" si="2"/>
        <v>2.2052</v>
      </c>
      <c r="N9" s="58">
        <f t="shared" si="3"/>
        <v>-1.9999999999997797E-4</v>
      </c>
      <c r="O9" s="58">
        <f t="shared" si="4"/>
        <v>0</v>
      </c>
      <c r="P9" s="58"/>
      <c r="Q9" s="84">
        <v>160.25</v>
      </c>
      <c r="R9" s="84">
        <v>160.25</v>
      </c>
      <c r="S9" s="84">
        <v>160.25</v>
      </c>
      <c r="T9" s="84">
        <v>160.25</v>
      </c>
      <c r="U9" s="84">
        <v>160.25</v>
      </c>
      <c r="V9" s="84">
        <v>160.25</v>
      </c>
      <c r="W9" s="84">
        <v>160.25</v>
      </c>
      <c r="X9" s="84">
        <v>160.25</v>
      </c>
      <c r="Y9" s="58">
        <f>AVERAGE(C5,C9)-AVERAGE(C$4,C$10)</f>
        <v>0</v>
      </c>
      <c r="Z9" s="58">
        <f t="shared" ref="Z9:AF9" si="10">AVERAGE(D5,D9)-AVERAGE(D$4,D$10)</f>
        <v>7.4999999999825206E-5</v>
      </c>
      <c r="AA9" s="58">
        <f t="shared" si="10"/>
        <v>-5.000000000032756E-5</v>
      </c>
      <c r="AB9" s="58">
        <f t="shared" si="10"/>
        <v>0</v>
      </c>
      <c r="AC9" s="58">
        <f t="shared" si="10"/>
        <v>-4.9999999999883471E-5</v>
      </c>
      <c r="AD9" s="58">
        <f t="shared" si="10"/>
        <v>0</v>
      </c>
      <c r="AE9" s="58">
        <f t="shared" si="10"/>
        <v>-2.4999999999941735E-5</v>
      </c>
      <c r="AF9" s="58">
        <f t="shared" si="10"/>
        <v>0</v>
      </c>
      <c r="AG9" s="58"/>
      <c r="AH9" s="58"/>
      <c r="AI9" s="58"/>
      <c r="AJ9" s="58"/>
      <c r="AK9" s="58"/>
    </row>
    <row r="10" spans="1:37" s="9" customFormat="1" ht="15" customHeight="1">
      <c r="A10" s="84">
        <v>175</v>
      </c>
      <c r="B10" s="84">
        <v>175</v>
      </c>
      <c r="C10" s="58">
        <v>2.2050000000000001</v>
      </c>
      <c r="D10" s="58">
        <v>2.2050000000000001</v>
      </c>
      <c r="E10" s="58">
        <v>2.2052</v>
      </c>
      <c r="F10" s="58">
        <v>2.2050000000000001</v>
      </c>
      <c r="G10" s="58">
        <v>2.2052</v>
      </c>
      <c r="H10" s="58">
        <v>2.2052999999999998</v>
      </c>
      <c r="I10" s="58">
        <v>2.2050999999999998</v>
      </c>
      <c r="J10" s="58">
        <v>2.2051500000000002</v>
      </c>
      <c r="K10" s="58">
        <f t="shared" si="0"/>
        <v>2.2050000000000001</v>
      </c>
      <c r="L10" s="58">
        <f t="shared" si="1"/>
        <v>2.2052999999999998</v>
      </c>
      <c r="M10" s="58">
        <f t="shared" si="2"/>
        <v>2.2050000000000001</v>
      </c>
      <c r="N10" s="58">
        <f t="shared" si="3"/>
        <v>0</v>
      </c>
      <c r="O10" s="58">
        <f t="shared" si="4"/>
        <v>2.9999999999974492E-4</v>
      </c>
      <c r="P10" s="58"/>
      <c r="Q10" s="84">
        <v>175</v>
      </c>
      <c r="R10" s="84">
        <v>175</v>
      </c>
      <c r="S10" s="84">
        <v>175</v>
      </c>
      <c r="T10" s="84">
        <v>175</v>
      </c>
      <c r="U10" s="84">
        <v>175</v>
      </c>
      <c r="V10" s="84">
        <v>175</v>
      </c>
      <c r="W10" s="84">
        <v>175</v>
      </c>
      <c r="X10" s="84">
        <v>175</v>
      </c>
      <c r="Y10" s="58">
        <f>AVERAGE(C4,C10)-AVERAGE(C$4,C$10)</f>
        <v>0</v>
      </c>
      <c r="Z10" s="58">
        <f t="shared" ref="Z10:AF10" si="11">AVERAGE(D4,D10)-AVERAGE(D$4,D$10)</f>
        <v>0</v>
      </c>
      <c r="AA10" s="58">
        <f t="shared" si="11"/>
        <v>0</v>
      </c>
      <c r="AB10" s="58">
        <f t="shared" si="11"/>
        <v>0</v>
      </c>
      <c r="AC10" s="58">
        <f t="shared" si="11"/>
        <v>0</v>
      </c>
      <c r="AD10" s="58">
        <f t="shared" si="11"/>
        <v>0</v>
      </c>
      <c r="AE10" s="58">
        <f t="shared" si="11"/>
        <v>0</v>
      </c>
      <c r="AF10" s="58">
        <f t="shared" si="11"/>
        <v>0</v>
      </c>
      <c r="AG10" s="58"/>
      <c r="AH10" s="58"/>
      <c r="AI10" s="58"/>
      <c r="AJ10" s="58"/>
      <c r="AK10" s="58"/>
    </row>
    <row r="16" spans="1:37">
      <c r="A16" s="58" t="s">
        <v>239</v>
      </c>
      <c r="B16" s="9" t="s">
        <v>353</v>
      </c>
      <c r="C16" s="83" t="s">
        <v>175</v>
      </c>
      <c r="D16" s="83" t="s">
        <v>176</v>
      </c>
      <c r="E16" s="83" t="s">
        <v>177</v>
      </c>
      <c r="F16" s="83" t="s">
        <v>178</v>
      </c>
      <c r="G16" s="83" t="s">
        <v>179</v>
      </c>
      <c r="H16" s="83" t="s">
        <v>180</v>
      </c>
      <c r="I16" s="83" t="s">
        <v>181</v>
      </c>
      <c r="J16" s="83" t="s">
        <v>182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58"/>
      <c r="B17" s="9" t="s">
        <v>241</v>
      </c>
      <c r="C17" s="58">
        <v>76.400000000000006</v>
      </c>
      <c r="D17" s="58">
        <v>76.3</v>
      </c>
      <c r="E17" s="58">
        <v>76.2</v>
      </c>
      <c r="F17" s="58">
        <v>76.099999999999994</v>
      </c>
      <c r="G17" s="58">
        <v>76</v>
      </c>
      <c r="H17" s="58">
        <v>76.099999999999994</v>
      </c>
      <c r="I17" s="58">
        <v>76.099999999999994</v>
      </c>
      <c r="J17" s="58">
        <v>76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X17" s="9"/>
      <c r="Y17" s="101" t="s">
        <v>270</v>
      </c>
      <c r="Z17" s="101"/>
      <c r="AA17" s="101"/>
      <c r="AB17" s="101"/>
      <c r="AC17" s="101"/>
      <c r="AD17" s="101"/>
      <c r="AE17" s="101"/>
      <c r="AF17" s="101"/>
    </row>
    <row r="18" spans="1:32">
      <c r="A18" s="58"/>
      <c r="B18" s="9" t="s">
        <v>242</v>
      </c>
      <c r="C18" s="58"/>
      <c r="D18" s="58"/>
      <c r="E18" s="58"/>
      <c r="F18" s="58"/>
      <c r="G18" s="58"/>
      <c r="H18" s="58"/>
      <c r="I18" s="58"/>
      <c r="J18" s="58"/>
      <c r="K18" s="53" t="s">
        <v>195</v>
      </c>
      <c r="L18" s="53" t="s">
        <v>183</v>
      </c>
      <c r="M18" s="53" t="s">
        <v>184</v>
      </c>
      <c r="N18" s="53" t="s">
        <v>185</v>
      </c>
      <c r="O18" s="53" t="s">
        <v>186</v>
      </c>
      <c r="P18" s="53"/>
      <c r="Q18" s="53"/>
      <c r="R18" s="53"/>
      <c r="S18" s="53"/>
      <c r="T18" s="53"/>
      <c r="U18" s="53"/>
      <c r="X18" s="9"/>
      <c r="Y18" s="78" t="s">
        <v>175</v>
      </c>
      <c r="Z18" s="78" t="s">
        <v>176</v>
      </c>
      <c r="AA18" s="78" t="s">
        <v>177</v>
      </c>
      <c r="AB18" s="78" t="s">
        <v>178</v>
      </c>
      <c r="AC18" s="78" t="s">
        <v>179</v>
      </c>
      <c r="AD18" s="78" t="s">
        <v>180</v>
      </c>
      <c r="AE18" s="78" t="s">
        <v>181</v>
      </c>
      <c r="AF18" s="78" t="s">
        <v>182</v>
      </c>
    </row>
    <row r="19" spans="1:32">
      <c r="A19" s="84">
        <v>5</v>
      </c>
      <c r="B19" s="9"/>
      <c r="C19" s="58">
        <v>2.2050000000000001</v>
      </c>
      <c r="D19" s="58">
        <v>2.2050000000000001</v>
      </c>
      <c r="E19" s="58">
        <v>2.2052</v>
      </c>
      <c r="F19" s="58">
        <v>2.2050000000000001</v>
      </c>
      <c r="G19" s="58">
        <v>2.2052</v>
      </c>
      <c r="H19" s="58">
        <v>2.2051500000000002</v>
      </c>
      <c r="I19" s="58">
        <v>2.2052</v>
      </c>
      <c r="J19" s="58">
        <v>2.2051500000000002</v>
      </c>
      <c r="K19" s="58">
        <f t="shared" ref="K19:K25" si="12">MIN(C19:J19)</f>
        <v>2.2050000000000001</v>
      </c>
      <c r="L19" s="58">
        <f t="shared" ref="L19:L25" si="13">MAX(C19:J19)</f>
        <v>2.2052</v>
      </c>
      <c r="M19" s="58">
        <f t="shared" ref="M19:M25" si="14">MODE(C19:J19)</f>
        <v>2.2050000000000001</v>
      </c>
      <c r="N19" s="58">
        <f t="shared" ref="N19:N25" si="15">K19-M19</f>
        <v>0</v>
      </c>
      <c r="O19" s="58">
        <f t="shared" ref="O19:O25" si="16">L19-M19</f>
        <v>1.9999999999997797E-4</v>
      </c>
      <c r="P19" s="58"/>
      <c r="Q19" s="84">
        <v>5</v>
      </c>
      <c r="R19" s="84">
        <v>5</v>
      </c>
      <c r="S19" s="84">
        <v>5</v>
      </c>
      <c r="T19" s="84">
        <v>5</v>
      </c>
      <c r="U19" s="84">
        <v>5</v>
      </c>
      <c r="V19" s="84">
        <v>5</v>
      </c>
      <c r="W19" s="84">
        <v>5</v>
      </c>
      <c r="X19" s="84">
        <v>5</v>
      </c>
      <c r="Y19" s="58">
        <f>AVERAGE(C19,C25)-AVERAGE(C$19,C$25)</f>
        <v>0</v>
      </c>
      <c r="Z19" s="58">
        <f t="shared" ref="Z19:AF19" si="17">AVERAGE(D19,D25)-AVERAGE(D$19,D$25)</f>
        <v>0</v>
      </c>
      <c r="AA19" s="58">
        <f t="shared" si="17"/>
        <v>0</v>
      </c>
      <c r="AB19" s="58">
        <f t="shared" si="17"/>
        <v>0</v>
      </c>
      <c r="AC19" s="58">
        <f t="shared" si="17"/>
        <v>0</v>
      </c>
      <c r="AD19" s="58">
        <f t="shared" si="17"/>
        <v>0</v>
      </c>
      <c r="AE19" s="58">
        <f t="shared" si="17"/>
        <v>0</v>
      </c>
      <c r="AF19" s="58">
        <f t="shared" si="17"/>
        <v>0</v>
      </c>
    </row>
    <row r="20" spans="1:32">
      <c r="A20" s="84">
        <v>19.75</v>
      </c>
      <c r="B20" s="9"/>
      <c r="C20" s="58">
        <v>2.2052</v>
      </c>
      <c r="D20" s="58">
        <v>2.2053500000000001</v>
      </c>
      <c r="E20" s="58">
        <v>2.2054</v>
      </c>
      <c r="F20" s="58">
        <v>2.2053500000000001</v>
      </c>
      <c r="G20" s="58">
        <v>2.2054</v>
      </c>
      <c r="H20" s="58">
        <v>2.2052999999999998</v>
      </c>
      <c r="I20" s="58">
        <v>2.2054</v>
      </c>
      <c r="J20" s="58">
        <v>2.2054</v>
      </c>
      <c r="K20" s="58">
        <f t="shared" si="12"/>
        <v>2.2052</v>
      </c>
      <c r="L20" s="58">
        <f t="shared" si="13"/>
        <v>2.2054</v>
      </c>
      <c r="M20" s="58">
        <f t="shared" si="14"/>
        <v>2.2054</v>
      </c>
      <c r="N20" s="58">
        <f t="shared" si="15"/>
        <v>-1.9999999999997797E-4</v>
      </c>
      <c r="O20" s="58">
        <f t="shared" si="16"/>
        <v>0</v>
      </c>
      <c r="P20" s="58"/>
      <c r="Q20" s="84">
        <v>19.75</v>
      </c>
      <c r="R20" s="84">
        <v>19.75</v>
      </c>
      <c r="S20" s="84">
        <v>19.75</v>
      </c>
      <c r="T20" s="84">
        <v>19.75</v>
      </c>
      <c r="U20" s="84">
        <v>19.75</v>
      </c>
      <c r="V20" s="84">
        <v>19.75</v>
      </c>
      <c r="W20" s="84">
        <v>19.75</v>
      </c>
      <c r="X20" s="84">
        <v>19.75</v>
      </c>
      <c r="Y20" s="58">
        <f>AVERAGE(C20,C24)-AVERAGE(C$19,C$25)</f>
        <v>1.9999999999997797E-4</v>
      </c>
      <c r="Z20" s="58">
        <f t="shared" ref="Z20:AF20" si="18">AVERAGE(D20,D24)-AVERAGE(D$19,D$25)</f>
        <v>2.7500000000024727E-4</v>
      </c>
      <c r="AA20" s="58">
        <f t="shared" si="18"/>
        <v>1.500000000000945E-4</v>
      </c>
      <c r="AB20" s="58">
        <f t="shared" si="18"/>
        <v>2.7500000000024727E-4</v>
      </c>
      <c r="AC20" s="58">
        <f t="shared" si="18"/>
        <v>1.7500000000003624E-4</v>
      </c>
      <c r="AD20" s="58">
        <f t="shared" si="18"/>
        <v>1.500000000000945E-4</v>
      </c>
      <c r="AE20" s="58">
        <f t="shared" si="18"/>
        <v>2.0000000000042206E-4</v>
      </c>
      <c r="AF20" s="58">
        <f t="shared" si="18"/>
        <v>2.250000000003638E-4</v>
      </c>
    </row>
    <row r="21" spans="1:32">
      <c r="A21" s="84">
        <v>45</v>
      </c>
      <c r="B21" s="9"/>
      <c r="C21" s="58">
        <v>2.2056</v>
      </c>
      <c r="D21" s="58">
        <v>2.2056</v>
      </c>
      <c r="E21" s="58">
        <v>2.2056</v>
      </c>
      <c r="F21" s="58">
        <v>2.2056</v>
      </c>
      <c r="G21" s="58">
        <v>2.2054999999999998</v>
      </c>
      <c r="H21" s="58">
        <v>2.2054999999999998</v>
      </c>
      <c r="I21" s="58">
        <v>2.2054</v>
      </c>
      <c r="J21" s="58">
        <v>2.2056</v>
      </c>
      <c r="K21" s="58">
        <f t="shared" si="12"/>
        <v>2.2054</v>
      </c>
      <c r="L21" s="58">
        <f t="shared" si="13"/>
        <v>2.2056</v>
      </c>
      <c r="M21" s="58">
        <f t="shared" si="14"/>
        <v>2.2056</v>
      </c>
      <c r="N21" s="58">
        <f t="shared" si="15"/>
        <v>-1.9999999999997797E-4</v>
      </c>
      <c r="O21" s="58">
        <f t="shared" si="16"/>
        <v>0</v>
      </c>
      <c r="P21" s="58"/>
      <c r="Q21" s="84">
        <v>45</v>
      </c>
      <c r="R21" s="84">
        <v>45</v>
      </c>
      <c r="S21" s="84">
        <v>45</v>
      </c>
      <c r="T21" s="84">
        <v>45</v>
      </c>
      <c r="U21" s="84">
        <v>45</v>
      </c>
      <c r="V21" s="84">
        <v>45</v>
      </c>
      <c r="W21" s="84">
        <v>45</v>
      </c>
      <c r="X21" s="84">
        <v>45</v>
      </c>
      <c r="Y21" s="58">
        <f>AVERAGE(C21,C23)-AVERAGE(C$19,C$25)</f>
        <v>5.9999999999993392E-4</v>
      </c>
      <c r="Z21" s="58">
        <f t="shared" ref="Z21:AF21" si="19">AVERAGE(D21,D23)-AVERAGE(D$19,D$25)</f>
        <v>4.9999999999972289E-4</v>
      </c>
      <c r="AA21" s="58">
        <f t="shared" si="19"/>
        <v>4.2499999999989768E-4</v>
      </c>
      <c r="AB21" s="58">
        <f t="shared" si="19"/>
        <v>5.9999999999993392E-4</v>
      </c>
      <c r="AC21" s="58">
        <f t="shared" si="19"/>
        <v>2.9999999999974492E-4</v>
      </c>
      <c r="AD21" s="58">
        <f t="shared" si="19"/>
        <v>2.9999999999974492E-4</v>
      </c>
      <c r="AE21" s="58">
        <f t="shared" si="19"/>
        <v>2.5000000000030553E-4</v>
      </c>
      <c r="AF21" s="58">
        <f t="shared" si="19"/>
        <v>5.0000000000016698E-4</v>
      </c>
    </row>
    <row r="22" spans="1:32">
      <c r="A22" s="84">
        <v>90</v>
      </c>
      <c r="B22" s="9"/>
      <c r="C22" s="58">
        <v>2.2057500000000001</v>
      </c>
      <c r="D22" s="58">
        <v>2.2058</v>
      </c>
      <c r="E22" s="58">
        <v>2.2058</v>
      </c>
      <c r="F22" s="58">
        <v>2.2058</v>
      </c>
      <c r="G22" s="58">
        <v>2.2056</v>
      </c>
      <c r="H22" s="58">
        <v>2.2056</v>
      </c>
      <c r="I22" s="58">
        <v>2.2056499999999999</v>
      </c>
      <c r="J22" s="58">
        <v>2.2058</v>
      </c>
      <c r="K22" s="58">
        <f t="shared" si="12"/>
        <v>2.2056</v>
      </c>
      <c r="L22" s="58">
        <f t="shared" si="13"/>
        <v>2.2058</v>
      </c>
      <c r="M22" s="58">
        <f t="shared" si="14"/>
        <v>2.2058</v>
      </c>
      <c r="N22" s="58">
        <f t="shared" si="15"/>
        <v>-1.9999999999997797E-4</v>
      </c>
      <c r="O22" s="58">
        <f t="shared" si="16"/>
        <v>0</v>
      </c>
      <c r="P22" s="58"/>
      <c r="Q22" s="84">
        <v>90</v>
      </c>
      <c r="R22" s="84">
        <v>90</v>
      </c>
      <c r="S22" s="84">
        <v>90</v>
      </c>
      <c r="T22" s="84">
        <v>90</v>
      </c>
      <c r="U22" s="84">
        <v>90</v>
      </c>
      <c r="V22" s="84">
        <v>90</v>
      </c>
      <c r="W22" s="84">
        <v>90</v>
      </c>
      <c r="X22" s="84">
        <v>90</v>
      </c>
      <c r="Y22" s="58">
        <f>C22-AVERAGE(C$19,C$25)</f>
        <v>7.5000000000002842E-4</v>
      </c>
      <c r="Z22" s="58">
        <f t="shared" ref="Z22:AF22" si="20">D22-AVERAGE(D$19,D$25)</f>
        <v>7.9999999999991189E-4</v>
      </c>
      <c r="AA22" s="58">
        <f t="shared" si="20"/>
        <v>5.9999999999993392E-4</v>
      </c>
      <c r="AB22" s="58">
        <f t="shared" si="20"/>
        <v>7.9999999999991189E-4</v>
      </c>
      <c r="AC22" s="58">
        <f t="shared" si="20"/>
        <v>3.9999999999995595E-4</v>
      </c>
      <c r="AD22" s="58">
        <f t="shared" si="20"/>
        <v>4.2499999999989768E-4</v>
      </c>
      <c r="AE22" s="58">
        <f t="shared" si="20"/>
        <v>5.0000000000016698E-4</v>
      </c>
      <c r="AF22" s="58">
        <f t="shared" si="20"/>
        <v>6.7500000000020322E-4</v>
      </c>
    </row>
    <row r="23" spans="1:32">
      <c r="A23" s="84">
        <v>135</v>
      </c>
      <c r="B23" s="9"/>
      <c r="C23" s="58">
        <v>2.2056</v>
      </c>
      <c r="D23" s="58">
        <v>2.2054</v>
      </c>
      <c r="E23" s="58">
        <v>2.2056499999999999</v>
      </c>
      <c r="F23" s="58">
        <v>2.2056</v>
      </c>
      <c r="G23" s="58">
        <v>2.2054999999999998</v>
      </c>
      <c r="H23" s="58">
        <v>2.2054499999999999</v>
      </c>
      <c r="I23" s="58">
        <v>2.2054</v>
      </c>
      <c r="J23" s="58">
        <v>2.2056499999999999</v>
      </c>
      <c r="K23" s="58">
        <f t="shared" si="12"/>
        <v>2.2054</v>
      </c>
      <c r="L23" s="58">
        <f t="shared" si="13"/>
        <v>2.2056499999999999</v>
      </c>
      <c r="M23" s="58">
        <f t="shared" si="14"/>
        <v>2.2056</v>
      </c>
      <c r="N23" s="58">
        <f t="shared" si="15"/>
        <v>-1.9999999999997797E-4</v>
      </c>
      <c r="O23" s="58">
        <f t="shared" si="16"/>
        <v>4.9999999999883471E-5</v>
      </c>
      <c r="P23" s="58"/>
      <c r="Q23" s="84">
        <v>135</v>
      </c>
      <c r="R23" s="84">
        <v>135</v>
      </c>
      <c r="S23" s="84">
        <v>135</v>
      </c>
      <c r="T23" s="84">
        <v>135</v>
      </c>
      <c r="U23" s="84">
        <v>135</v>
      </c>
      <c r="V23" s="84">
        <v>135</v>
      </c>
      <c r="W23" s="84">
        <v>135</v>
      </c>
      <c r="X23" s="84">
        <v>135</v>
      </c>
      <c r="Y23" s="58">
        <f>AVERAGE(C21,C23)-AVERAGE(C$19,C$25)</f>
        <v>5.9999999999993392E-4</v>
      </c>
      <c r="Z23" s="58">
        <f t="shared" ref="Z23:AF23" si="21">AVERAGE(D21,D23)-AVERAGE(D$19,D$25)</f>
        <v>4.9999999999972289E-4</v>
      </c>
      <c r="AA23" s="58">
        <f t="shared" si="21"/>
        <v>4.2499999999989768E-4</v>
      </c>
      <c r="AB23" s="58">
        <f t="shared" si="21"/>
        <v>5.9999999999993392E-4</v>
      </c>
      <c r="AC23" s="58">
        <f t="shared" si="21"/>
        <v>2.9999999999974492E-4</v>
      </c>
      <c r="AD23" s="58">
        <f t="shared" si="21"/>
        <v>2.9999999999974492E-4</v>
      </c>
      <c r="AE23" s="58">
        <f t="shared" si="21"/>
        <v>2.5000000000030553E-4</v>
      </c>
      <c r="AF23" s="58">
        <f t="shared" si="21"/>
        <v>5.0000000000016698E-4</v>
      </c>
    </row>
    <row r="24" spans="1:32">
      <c r="A24" s="84">
        <v>160.25</v>
      </c>
      <c r="B24" s="9"/>
      <c r="C24" s="58">
        <v>2.2052</v>
      </c>
      <c r="D24" s="58">
        <v>2.2052</v>
      </c>
      <c r="E24" s="58">
        <v>2.2052999999999998</v>
      </c>
      <c r="F24" s="58">
        <v>2.2052</v>
      </c>
      <c r="G24" s="58">
        <v>2.2053500000000001</v>
      </c>
      <c r="H24" s="58">
        <v>2.2053500000000001</v>
      </c>
      <c r="I24" s="58">
        <v>2.2052999999999998</v>
      </c>
      <c r="J24" s="58">
        <v>2.2052999999999998</v>
      </c>
      <c r="K24" s="58">
        <f t="shared" si="12"/>
        <v>2.2052</v>
      </c>
      <c r="L24" s="58">
        <f t="shared" si="13"/>
        <v>2.2053500000000001</v>
      </c>
      <c r="M24" s="58">
        <f t="shared" si="14"/>
        <v>2.2052</v>
      </c>
      <c r="N24" s="58">
        <f t="shared" si="15"/>
        <v>0</v>
      </c>
      <c r="O24" s="58">
        <f t="shared" si="16"/>
        <v>1.500000000000945E-4</v>
      </c>
      <c r="P24" s="58"/>
      <c r="Q24" s="84">
        <v>160.25</v>
      </c>
      <c r="R24" s="84">
        <v>160.25</v>
      </c>
      <c r="S24" s="84">
        <v>160.25</v>
      </c>
      <c r="T24" s="84">
        <v>160.25</v>
      </c>
      <c r="U24" s="84">
        <v>160.25</v>
      </c>
      <c r="V24" s="84">
        <v>160.25</v>
      </c>
      <c r="W24" s="84">
        <v>160.25</v>
      </c>
      <c r="X24" s="84">
        <v>160.25</v>
      </c>
      <c r="Y24" s="58">
        <f>AVERAGE(C20,C24)-AVERAGE(C$19,C$25)</f>
        <v>1.9999999999997797E-4</v>
      </c>
      <c r="Z24" s="58">
        <f t="shared" ref="Z24:AF24" si="22">AVERAGE(D20,D24)-AVERAGE(D$19,D$25)</f>
        <v>2.7500000000024727E-4</v>
      </c>
      <c r="AA24" s="58">
        <f t="shared" si="22"/>
        <v>1.500000000000945E-4</v>
      </c>
      <c r="AB24" s="58">
        <f t="shared" si="22"/>
        <v>2.7500000000024727E-4</v>
      </c>
      <c r="AC24" s="58">
        <f t="shared" si="22"/>
        <v>1.7500000000003624E-4</v>
      </c>
      <c r="AD24" s="58">
        <f t="shared" si="22"/>
        <v>1.500000000000945E-4</v>
      </c>
      <c r="AE24" s="58">
        <f t="shared" si="22"/>
        <v>2.0000000000042206E-4</v>
      </c>
      <c r="AF24" s="58">
        <f t="shared" si="22"/>
        <v>2.250000000003638E-4</v>
      </c>
    </row>
    <row r="25" spans="1:32">
      <c r="A25" s="84">
        <v>175</v>
      </c>
      <c r="B25" s="9"/>
      <c r="C25" s="58">
        <v>2.2050000000000001</v>
      </c>
      <c r="D25" s="58">
        <v>2.2050000000000001</v>
      </c>
      <c r="E25" s="58">
        <v>2.2052</v>
      </c>
      <c r="F25" s="58">
        <v>2.2050000000000001</v>
      </c>
      <c r="G25" s="58">
        <v>2.2052</v>
      </c>
      <c r="H25" s="58">
        <v>2.2052</v>
      </c>
      <c r="I25" s="58">
        <v>2.2050999999999998</v>
      </c>
      <c r="J25" s="58">
        <v>2.2050999999999998</v>
      </c>
      <c r="K25" s="58">
        <f t="shared" si="12"/>
        <v>2.2050000000000001</v>
      </c>
      <c r="L25" s="58">
        <f t="shared" si="13"/>
        <v>2.2052</v>
      </c>
      <c r="M25" s="58">
        <f t="shared" si="14"/>
        <v>2.2050000000000001</v>
      </c>
      <c r="N25" s="58">
        <f t="shared" si="15"/>
        <v>0</v>
      </c>
      <c r="O25" s="58">
        <f t="shared" si="16"/>
        <v>1.9999999999997797E-4</v>
      </c>
      <c r="P25" s="58"/>
      <c r="Q25" s="84">
        <v>175</v>
      </c>
      <c r="R25" s="84">
        <v>175</v>
      </c>
      <c r="S25" s="84">
        <v>175</v>
      </c>
      <c r="T25" s="84">
        <v>175</v>
      </c>
      <c r="U25" s="84">
        <v>175</v>
      </c>
      <c r="V25" s="84">
        <v>175</v>
      </c>
      <c r="W25" s="84">
        <v>175</v>
      </c>
      <c r="X25" s="84">
        <v>175</v>
      </c>
      <c r="Y25" s="58">
        <f>AVERAGE(C19,C25)-AVERAGE(C$19,C$25)</f>
        <v>0</v>
      </c>
      <c r="Z25" s="58">
        <f t="shared" ref="Z25:AF25" si="23">AVERAGE(D19,D25)-AVERAGE(D$19,D$25)</f>
        <v>0</v>
      </c>
      <c r="AA25" s="58">
        <f t="shared" si="23"/>
        <v>0</v>
      </c>
      <c r="AB25" s="58">
        <f t="shared" si="23"/>
        <v>0</v>
      </c>
      <c r="AC25" s="58">
        <f t="shared" si="23"/>
        <v>0</v>
      </c>
      <c r="AD25" s="58">
        <f t="shared" si="23"/>
        <v>0</v>
      </c>
      <c r="AE25" s="58">
        <f t="shared" si="23"/>
        <v>0</v>
      </c>
      <c r="AF25" s="58">
        <f t="shared" si="23"/>
        <v>0</v>
      </c>
    </row>
    <row r="30" spans="1:32" s="9" customFormat="1">
      <c r="A30" s="9" t="s">
        <v>365</v>
      </c>
    </row>
    <row r="31" spans="1:32" s="9" customFormat="1">
      <c r="A31" s="58" t="s">
        <v>239</v>
      </c>
      <c r="B31" s="9" t="s">
        <v>352</v>
      </c>
      <c r="C31" s="83"/>
      <c r="D31" s="83"/>
      <c r="E31" s="83"/>
      <c r="F31" s="83"/>
      <c r="G31" s="83"/>
      <c r="H31" s="83"/>
      <c r="I31" s="83"/>
      <c r="J31" s="83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32" s="9" customFormat="1">
      <c r="A32" s="58"/>
      <c r="B32" s="9" t="s">
        <v>241</v>
      </c>
      <c r="C32" s="58">
        <v>72.400000000000006</v>
      </c>
      <c r="D32" s="58">
        <v>72.3</v>
      </c>
      <c r="E32" s="58">
        <v>72.400000000000006</v>
      </c>
      <c r="F32" s="58">
        <v>72.8</v>
      </c>
      <c r="G32" s="58">
        <v>73.099999999999994</v>
      </c>
      <c r="H32" s="58">
        <v>73.099999999999994</v>
      </c>
      <c r="I32" s="58">
        <v>73.400000000000006</v>
      </c>
      <c r="J32" s="58">
        <v>73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Y32" s="101" t="s">
        <v>270</v>
      </c>
      <c r="Z32" s="101"/>
      <c r="AA32" s="101"/>
      <c r="AB32" s="101"/>
      <c r="AC32" s="101"/>
      <c r="AD32" s="101"/>
      <c r="AE32" s="101"/>
      <c r="AF32" s="101"/>
    </row>
    <row r="33" spans="1:33" s="9" customFormat="1">
      <c r="A33" s="58"/>
      <c r="B33" s="9" t="s">
        <v>364</v>
      </c>
      <c r="C33" s="83" t="s">
        <v>175</v>
      </c>
      <c r="D33" s="83" t="s">
        <v>176</v>
      </c>
      <c r="E33" s="83" t="s">
        <v>177</v>
      </c>
      <c r="F33" s="83" t="s">
        <v>178</v>
      </c>
      <c r="G33" s="83" t="s">
        <v>179</v>
      </c>
      <c r="H33" s="83" t="s">
        <v>180</v>
      </c>
      <c r="I33" s="83" t="s">
        <v>181</v>
      </c>
      <c r="J33" s="83" t="s">
        <v>182</v>
      </c>
      <c r="K33" s="53" t="s">
        <v>195</v>
      </c>
      <c r="L33" s="53" t="s">
        <v>183</v>
      </c>
      <c r="M33" s="53" t="s">
        <v>184</v>
      </c>
      <c r="N33" s="53" t="s">
        <v>185</v>
      </c>
      <c r="O33" s="53" t="s">
        <v>186</v>
      </c>
      <c r="P33" s="53"/>
      <c r="Q33" s="53"/>
      <c r="R33" s="53"/>
      <c r="S33" s="53"/>
      <c r="T33" s="53"/>
      <c r="U33" s="53"/>
      <c r="Y33" s="88" t="s">
        <v>175</v>
      </c>
      <c r="Z33" s="88" t="s">
        <v>176</v>
      </c>
      <c r="AA33" s="88" t="s">
        <v>177</v>
      </c>
      <c r="AB33" s="88" t="s">
        <v>178</v>
      </c>
      <c r="AC33" s="88" t="s">
        <v>179</v>
      </c>
      <c r="AD33" s="88" t="s">
        <v>180</v>
      </c>
      <c r="AE33" s="88" t="s">
        <v>181</v>
      </c>
      <c r="AF33" s="88" t="s">
        <v>182</v>
      </c>
      <c r="AG33" s="88" t="s">
        <v>366</v>
      </c>
    </row>
    <row r="34" spans="1:33" s="9" customFormat="1">
      <c r="A34" s="84"/>
      <c r="B34" s="84">
        <v>5</v>
      </c>
      <c r="C34" s="58">
        <v>2.2046999999999999</v>
      </c>
      <c r="D34" s="58">
        <v>2.2048000000000001</v>
      </c>
      <c r="E34" s="58">
        <v>2.2048000000000001</v>
      </c>
      <c r="F34" s="58">
        <v>2.2048000000000001</v>
      </c>
      <c r="G34" s="58">
        <v>2.2047500000000002</v>
      </c>
      <c r="H34" s="58">
        <v>2.2050000000000001</v>
      </c>
      <c r="I34" s="58">
        <v>2.2048000000000001</v>
      </c>
      <c r="J34" s="58">
        <v>2.2046999999999999</v>
      </c>
      <c r="K34" s="58">
        <f t="shared" ref="K34:K40" si="24">MIN(C34:J34)</f>
        <v>2.2046999999999999</v>
      </c>
      <c r="L34" s="58">
        <f t="shared" ref="L34:L40" si="25">MAX(C34:J34)</f>
        <v>2.2050000000000001</v>
      </c>
      <c r="M34" s="58">
        <f t="shared" ref="M34:M40" si="26">MODE(C34:J34)</f>
        <v>2.2048000000000001</v>
      </c>
      <c r="N34" s="58">
        <f t="shared" ref="N34:N40" si="27">K34-M34</f>
        <v>-1.0000000000021103E-4</v>
      </c>
      <c r="O34" s="58">
        <f t="shared" ref="O34:O40" si="28">L34-M34</f>
        <v>1.9999999999997797E-4</v>
      </c>
      <c r="P34" s="58"/>
      <c r="Q34" s="84">
        <v>5</v>
      </c>
      <c r="R34" s="84">
        <v>5</v>
      </c>
      <c r="S34" s="84">
        <v>5</v>
      </c>
      <c r="T34" s="84">
        <v>5</v>
      </c>
      <c r="U34" s="84">
        <v>5</v>
      </c>
      <c r="V34" s="84">
        <v>5</v>
      </c>
      <c r="W34" s="84">
        <v>5</v>
      </c>
      <c r="X34" s="84">
        <v>5</v>
      </c>
      <c r="Y34" s="58">
        <f>AVERAGE(C34,C40)-AVERAGE(C$34,C$40)</f>
        <v>0</v>
      </c>
      <c r="Z34" s="58">
        <f t="shared" ref="Z34:AF34" si="29">AVERAGE(D34,D40)-AVERAGE(D$34,D$40)</f>
        <v>0</v>
      </c>
      <c r="AA34" s="58">
        <f t="shared" si="29"/>
        <v>0</v>
      </c>
      <c r="AB34" s="58">
        <f t="shared" si="29"/>
        <v>0</v>
      </c>
      <c r="AC34" s="58">
        <f t="shared" si="29"/>
        <v>0</v>
      </c>
      <c r="AD34" s="58">
        <f t="shared" si="29"/>
        <v>0</v>
      </c>
      <c r="AE34" s="58">
        <f t="shared" si="29"/>
        <v>0</v>
      </c>
      <c r="AF34" s="58">
        <f t="shared" si="29"/>
        <v>0</v>
      </c>
      <c r="AG34" s="58">
        <f>AVERAGE(Y34:AF34)</f>
        <v>0</v>
      </c>
    </row>
    <row r="35" spans="1:33" s="9" customFormat="1">
      <c r="A35" s="84"/>
      <c r="B35" s="84">
        <v>19.75</v>
      </c>
      <c r="C35" s="58">
        <v>2.2046999999999999</v>
      </c>
      <c r="D35" s="58">
        <v>2.2048000000000001</v>
      </c>
      <c r="E35" s="58">
        <v>2.2046999999999999</v>
      </c>
      <c r="F35" s="58">
        <v>2.2048000000000001</v>
      </c>
      <c r="G35" s="58">
        <v>2.2047500000000002</v>
      </c>
      <c r="H35" s="58">
        <v>2.2048000000000001</v>
      </c>
      <c r="I35" s="58">
        <v>2.2048000000000001</v>
      </c>
      <c r="J35" s="58">
        <v>2.2048000000000001</v>
      </c>
      <c r="K35" s="58">
        <f t="shared" si="24"/>
        <v>2.2046999999999999</v>
      </c>
      <c r="L35" s="58">
        <f t="shared" si="25"/>
        <v>2.2048000000000001</v>
      </c>
      <c r="M35" s="58">
        <f t="shared" si="26"/>
        <v>2.2048000000000001</v>
      </c>
      <c r="N35" s="58">
        <f t="shared" si="27"/>
        <v>-1.0000000000021103E-4</v>
      </c>
      <c r="O35" s="58">
        <f t="shared" si="28"/>
        <v>0</v>
      </c>
      <c r="P35" s="58"/>
      <c r="Q35" s="84">
        <v>19.75</v>
      </c>
      <c r="R35" s="84">
        <v>19.75</v>
      </c>
      <c r="S35" s="84">
        <v>19.75</v>
      </c>
      <c r="T35" s="84">
        <v>19.75</v>
      </c>
      <c r="U35" s="84">
        <v>19.75</v>
      </c>
      <c r="V35" s="84">
        <v>19.75</v>
      </c>
      <c r="W35" s="84">
        <v>19.75</v>
      </c>
      <c r="X35" s="84">
        <v>19.75</v>
      </c>
      <c r="Y35" s="58">
        <f>AVERAGE(C35,C39)-AVERAGE(C$34,C$40)</f>
        <v>-4.9999999999883471E-5</v>
      </c>
      <c r="Z35" s="58">
        <f t="shared" ref="Z35:AF35" si="30">AVERAGE(D35,D39)-AVERAGE(D$34,D$40)</f>
        <v>-1.0000000000021103E-4</v>
      </c>
      <c r="AA35" s="58">
        <f t="shared" si="30"/>
        <v>-5.000000000032756E-5</v>
      </c>
      <c r="AB35" s="58">
        <f t="shared" si="30"/>
        <v>-5.000000000032756E-5</v>
      </c>
      <c r="AC35" s="58">
        <f t="shared" si="30"/>
        <v>2.5000000000385825E-5</v>
      </c>
      <c r="AD35" s="58">
        <f t="shared" si="30"/>
        <v>-1.0000000000021103E-4</v>
      </c>
      <c r="AE35" s="58">
        <f t="shared" si="30"/>
        <v>-5.000000000032756E-5</v>
      </c>
      <c r="AF35" s="58">
        <f t="shared" si="30"/>
        <v>4.9999999999883471E-5</v>
      </c>
      <c r="AG35" s="58">
        <f t="shared" ref="AG35:AG40" si="31">AVERAGE(Y35:AF35)</f>
        <v>-4.0625000000127365E-5</v>
      </c>
    </row>
    <row r="36" spans="1:33" s="9" customFormat="1">
      <c r="A36" s="84"/>
      <c r="B36" s="84">
        <v>45</v>
      </c>
      <c r="C36" s="58">
        <v>2.2046000000000001</v>
      </c>
      <c r="D36" s="58">
        <v>2.2048000000000001</v>
      </c>
      <c r="E36" s="58">
        <v>2.20465</v>
      </c>
      <c r="F36" s="58">
        <v>2.2046999999999999</v>
      </c>
      <c r="G36" s="58">
        <v>2.2046000000000001</v>
      </c>
      <c r="H36" s="58">
        <v>2.20465</v>
      </c>
      <c r="I36" s="58">
        <v>2.2046999999999999</v>
      </c>
      <c r="J36" s="58">
        <v>2.2046999999999999</v>
      </c>
      <c r="K36" s="58">
        <f t="shared" si="24"/>
        <v>2.2046000000000001</v>
      </c>
      <c r="L36" s="58">
        <f t="shared" si="25"/>
        <v>2.2048000000000001</v>
      </c>
      <c r="M36" s="58">
        <f t="shared" si="26"/>
        <v>2.2046999999999999</v>
      </c>
      <c r="N36" s="58">
        <f t="shared" si="27"/>
        <v>-9.9999999999766942E-5</v>
      </c>
      <c r="O36" s="58">
        <f t="shared" si="28"/>
        <v>1.0000000000021103E-4</v>
      </c>
      <c r="P36" s="58"/>
      <c r="Q36" s="84">
        <v>45</v>
      </c>
      <c r="R36" s="84">
        <v>45</v>
      </c>
      <c r="S36" s="84">
        <v>45</v>
      </c>
      <c r="T36" s="84">
        <v>45</v>
      </c>
      <c r="U36" s="84">
        <v>45</v>
      </c>
      <c r="V36" s="84">
        <v>45</v>
      </c>
      <c r="W36" s="84">
        <v>45</v>
      </c>
      <c r="X36" s="84">
        <v>45</v>
      </c>
      <c r="Y36" s="58">
        <f>AVERAGE(C36,C38)-AVERAGE(C$34,C$40)</f>
        <v>-1.9999999999953388E-4</v>
      </c>
      <c r="Z36" s="58">
        <f t="shared" ref="Z36:AF36" si="32">AVERAGE(D36,D38)-AVERAGE(D$34,D$40)</f>
        <v>-1.500000000000945E-4</v>
      </c>
      <c r="AA36" s="58">
        <f t="shared" si="32"/>
        <v>-1.7500000000003624E-4</v>
      </c>
      <c r="AB36" s="58">
        <f t="shared" si="32"/>
        <v>-1.2500000000015277E-4</v>
      </c>
      <c r="AC36" s="58">
        <f t="shared" si="32"/>
        <v>-1.2499999999970868E-4</v>
      </c>
      <c r="AD36" s="58">
        <f t="shared" si="32"/>
        <v>-2.7500000000024727E-4</v>
      </c>
      <c r="AE36" s="58">
        <f t="shared" si="32"/>
        <v>-1.2500000000015277E-4</v>
      </c>
      <c r="AF36" s="58">
        <f t="shared" si="32"/>
        <v>-4.9999999999883471E-5</v>
      </c>
      <c r="AG36" s="58">
        <f t="shared" si="31"/>
        <v>-1.531249999999762E-4</v>
      </c>
    </row>
    <row r="37" spans="1:33" s="9" customFormat="1">
      <c r="A37" s="84"/>
      <c r="B37" s="84">
        <v>90</v>
      </c>
      <c r="C37" s="58">
        <v>2.2044000000000001</v>
      </c>
      <c r="D37" s="58">
        <v>2.2046000000000001</v>
      </c>
      <c r="E37" s="58">
        <v>2.2044999999999999</v>
      </c>
      <c r="F37" s="58">
        <v>2.2046000000000001</v>
      </c>
      <c r="G37" s="58">
        <v>2.2046000000000001</v>
      </c>
      <c r="H37" s="58">
        <v>2.2044000000000001</v>
      </c>
      <c r="I37" s="58">
        <v>2.20465</v>
      </c>
      <c r="J37" s="58">
        <v>2.20465</v>
      </c>
      <c r="K37" s="58">
        <f t="shared" si="24"/>
        <v>2.2044000000000001</v>
      </c>
      <c r="L37" s="58">
        <f t="shared" si="25"/>
        <v>2.20465</v>
      </c>
      <c r="M37" s="58">
        <f t="shared" si="26"/>
        <v>2.2046000000000001</v>
      </c>
      <c r="N37" s="58">
        <f t="shared" si="27"/>
        <v>-1.9999999999997797E-4</v>
      </c>
      <c r="O37" s="58">
        <f t="shared" si="28"/>
        <v>4.9999999999883471E-5</v>
      </c>
      <c r="P37" s="58"/>
      <c r="Q37" s="84">
        <v>90</v>
      </c>
      <c r="R37" s="84">
        <v>90</v>
      </c>
      <c r="S37" s="84">
        <v>90</v>
      </c>
      <c r="T37" s="84">
        <v>90</v>
      </c>
      <c r="U37" s="84">
        <v>90</v>
      </c>
      <c r="V37" s="84">
        <v>90</v>
      </c>
      <c r="W37" s="84">
        <v>90</v>
      </c>
      <c r="X37" s="84">
        <v>90</v>
      </c>
      <c r="Y37" s="58">
        <f>C37-AVERAGE(C$34,C$40)</f>
        <v>-2.9999999999974492E-4</v>
      </c>
      <c r="Z37" s="58">
        <f t="shared" ref="Z37:AF37" si="33">D37-AVERAGE(D$34,D$40)</f>
        <v>-1.9999999999997797E-4</v>
      </c>
      <c r="AA37" s="58">
        <f t="shared" si="33"/>
        <v>-3.00000000000189E-4</v>
      </c>
      <c r="AB37" s="58">
        <f t="shared" si="33"/>
        <v>-1.7500000000003624E-4</v>
      </c>
      <c r="AC37" s="58">
        <f t="shared" si="33"/>
        <v>-1.2499999999970868E-4</v>
      </c>
      <c r="AD37" s="58">
        <f t="shared" si="33"/>
        <v>-5.0000000000016698E-4</v>
      </c>
      <c r="AE37" s="58">
        <f t="shared" si="33"/>
        <v>-1.500000000000945E-4</v>
      </c>
      <c r="AF37" s="58">
        <f t="shared" si="33"/>
        <v>-4.9999999999883471E-5</v>
      </c>
      <c r="AG37" s="58">
        <f t="shared" si="31"/>
        <v>-2.2499999999997522E-4</v>
      </c>
    </row>
    <row r="38" spans="1:33" s="9" customFormat="1">
      <c r="A38" s="84"/>
      <c r="B38" s="84">
        <v>135</v>
      </c>
      <c r="C38" s="58">
        <v>2.2044000000000001</v>
      </c>
      <c r="D38" s="58">
        <v>2.2044999999999999</v>
      </c>
      <c r="E38" s="58">
        <v>2.2046000000000001</v>
      </c>
      <c r="F38" s="58">
        <v>2.2046000000000001</v>
      </c>
      <c r="G38" s="58">
        <v>2.2046000000000001</v>
      </c>
      <c r="H38" s="58">
        <v>2.2046000000000001</v>
      </c>
      <c r="I38" s="58">
        <v>2.20465</v>
      </c>
      <c r="J38" s="58">
        <v>2.2046000000000001</v>
      </c>
      <c r="K38" s="58">
        <f t="shared" si="24"/>
        <v>2.2044000000000001</v>
      </c>
      <c r="L38" s="58">
        <f t="shared" si="25"/>
        <v>2.20465</v>
      </c>
      <c r="M38" s="58">
        <f t="shared" si="26"/>
        <v>2.2046000000000001</v>
      </c>
      <c r="N38" s="58">
        <f t="shared" si="27"/>
        <v>-1.9999999999997797E-4</v>
      </c>
      <c r="O38" s="58">
        <f t="shared" si="28"/>
        <v>4.9999999999883471E-5</v>
      </c>
      <c r="P38" s="58"/>
      <c r="Q38" s="84">
        <v>135</v>
      </c>
      <c r="R38" s="84">
        <v>135</v>
      </c>
      <c r="S38" s="84">
        <v>135</v>
      </c>
      <c r="T38" s="84">
        <v>135</v>
      </c>
      <c r="U38" s="84">
        <v>135</v>
      </c>
      <c r="V38" s="84">
        <v>135</v>
      </c>
      <c r="W38" s="84">
        <v>135</v>
      </c>
      <c r="X38" s="84">
        <v>135</v>
      </c>
      <c r="Y38" s="58">
        <f>AVERAGE(C36,C38)-AVERAGE(C$34,C$40)</f>
        <v>-1.9999999999953388E-4</v>
      </c>
      <c r="Z38" s="58">
        <f t="shared" ref="Z38:AF38" si="34">AVERAGE(D36,D38)-AVERAGE(D$34,D$40)</f>
        <v>-1.500000000000945E-4</v>
      </c>
      <c r="AA38" s="58">
        <f t="shared" si="34"/>
        <v>-1.7500000000003624E-4</v>
      </c>
      <c r="AB38" s="58">
        <f t="shared" si="34"/>
        <v>-1.2500000000015277E-4</v>
      </c>
      <c r="AC38" s="58">
        <f t="shared" si="34"/>
        <v>-1.2499999999970868E-4</v>
      </c>
      <c r="AD38" s="58">
        <f t="shared" si="34"/>
        <v>-2.7500000000024727E-4</v>
      </c>
      <c r="AE38" s="58">
        <f t="shared" si="34"/>
        <v>-1.2500000000015277E-4</v>
      </c>
      <c r="AF38" s="58">
        <f t="shared" si="34"/>
        <v>-4.9999999999883471E-5</v>
      </c>
      <c r="AG38" s="58">
        <f t="shared" si="31"/>
        <v>-1.531249999999762E-4</v>
      </c>
    </row>
    <row r="39" spans="1:33" s="9" customFormat="1">
      <c r="A39" s="84"/>
      <c r="B39" s="84">
        <v>160.25</v>
      </c>
      <c r="C39" s="58">
        <v>2.2046000000000001</v>
      </c>
      <c r="D39" s="58">
        <v>2.2046000000000001</v>
      </c>
      <c r="E39" s="58">
        <v>2.2048000000000001</v>
      </c>
      <c r="F39" s="58">
        <v>2.20465</v>
      </c>
      <c r="G39" s="58">
        <v>2.2047500000000002</v>
      </c>
      <c r="H39" s="58">
        <v>2.2048000000000001</v>
      </c>
      <c r="I39" s="58">
        <v>2.2046999999999999</v>
      </c>
      <c r="J39" s="58">
        <v>2.2046999999999999</v>
      </c>
      <c r="K39" s="58">
        <f t="shared" si="24"/>
        <v>2.2046000000000001</v>
      </c>
      <c r="L39" s="58">
        <f t="shared" si="25"/>
        <v>2.2048000000000001</v>
      </c>
      <c r="M39" s="58">
        <f t="shared" si="26"/>
        <v>2.2046000000000001</v>
      </c>
      <c r="N39" s="58">
        <f t="shared" si="27"/>
        <v>0</v>
      </c>
      <c r="O39" s="58">
        <f t="shared" si="28"/>
        <v>1.9999999999997797E-4</v>
      </c>
      <c r="P39" s="58"/>
      <c r="Q39" s="84">
        <v>160.25</v>
      </c>
      <c r="R39" s="84">
        <v>160.25</v>
      </c>
      <c r="S39" s="84">
        <v>160.25</v>
      </c>
      <c r="T39" s="84">
        <v>160.25</v>
      </c>
      <c r="U39" s="84">
        <v>160.25</v>
      </c>
      <c r="V39" s="84">
        <v>160.25</v>
      </c>
      <c r="W39" s="84">
        <v>160.25</v>
      </c>
      <c r="X39" s="84">
        <v>160.25</v>
      </c>
      <c r="Y39" s="58">
        <f>AVERAGE(C35,C39)-AVERAGE(C$34,C$40)</f>
        <v>-4.9999999999883471E-5</v>
      </c>
      <c r="Z39" s="58">
        <f t="shared" ref="Z39:AF39" si="35">AVERAGE(D35,D39)-AVERAGE(D$34,D$40)</f>
        <v>-1.0000000000021103E-4</v>
      </c>
      <c r="AA39" s="58">
        <f t="shared" si="35"/>
        <v>-5.000000000032756E-5</v>
      </c>
      <c r="AB39" s="58">
        <f t="shared" si="35"/>
        <v>-5.000000000032756E-5</v>
      </c>
      <c r="AC39" s="58">
        <f t="shared" si="35"/>
        <v>2.5000000000385825E-5</v>
      </c>
      <c r="AD39" s="58">
        <f t="shared" si="35"/>
        <v>-1.0000000000021103E-4</v>
      </c>
      <c r="AE39" s="58">
        <f t="shared" si="35"/>
        <v>-5.000000000032756E-5</v>
      </c>
      <c r="AF39" s="58">
        <f t="shared" si="35"/>
        <v>4.9999999999883471E-5</v>
      </c>
      <c r="AG39" s="58">
        <f t="shared" si="31"/>
        <v>-4.0625000000127365E-5</v>
      </c>
    </row>
    <row r="40" spans="1:33" s="9" customFormat="1">
      <c r="A40" s="84"/>
      <c r="B40" s="84">
        <v>175</v>
      </c>
      <c r="C40" s="58">
        <v>2.2046999999999999</v>
      </c>
      <c r="D40" s="58">
        <v>2.2048000000000001</v>
      </c>
      <c r="E40" s="58">
        <v>2.2048000000000001</v>
      </c>
      <c r="F40" s="58">
        <v>2.2047500000000002</v>
      </c>
      <c r="G40" s="58">
        <v>2.2046999999999999</v>
      </c>
      <c r="H40" s="58">
        <v>2.2048000000000001</v>
      </c>
      <c r="I40" s="58">
        <v>2.2048000000000001</v>
      </c>
      <c r="J40" s="58">
        <v>2.2046999999999999</v>
      </c>
      <c r="K40" s="58">
        <f t="shared" si="24"/>
        <v>2.2046999999999999</v>
      </c>
      <c r="L40" s="58">
        <f t="shared" si="25"/>
        <v>2.2048000000000001</v>
      </c>
      <c r="M40" s="58">
        <f t="shared" si="26"/>
        <v>2.2048000000000001</v>
      </c>
      <c r="N40" s="58">
        <f t="shared" si="27"/>
        <v>-1.0000000000021103E-4</v>
      </c>
      <c r="O40" s="58">
        <f t="shared" si="28"/>
        <v>0</v>
      </c>
      <c r="P40" s="58"/>
      <c r="Q40" s="84">
        <v>175</v>
      </c>
      <c r="R40" s="84">
        <v>175</v>
      </c>
      <c r="S40" s="84">
        <v>175</v>
      </c>
      <c r="T40" s="84">
        <v>175</v>
      </c>
      <c r="U40" s="84">
        <v>175</v>
      </c>
      <c r="V40" s="84">
        <v>175</v>
      </c>
      <c r="W40" s="84">
        <v>175</v>
      </c>
      <c r="X40" s="84">
        <v>175</v>
      </c>
      <c r="Y40" s="58">
        <f>AVERAGE(C34,C40)-AVERAGE(C$34,C$40)</f>
        <v>0</v>
      </c>
      <c r="Z40" s="58">
        <f t="shared" ref="Z40:AF40" si="36">AVERAGE(D34,D40)-AVERAGE(D$34,D$40)</f>
        <v>0</v>
      </c>
      <c r="AA40" s="58">
        <f t="shared" si="36"/>
        <v>0</v>
      </c>
      <c r="AB40" s="58">
        <f t="shared" si="36"/>
        <v>0</v>
      </c>
      <c r="AC40" s="58">
        <f t="shared" si="36"/>
        <v>0</v>
      </c>
      <c r="AD40" s="58">
        <f t="shared" si="36"/>
        <v>0</v>
      </c>
      <c r="AE40" s="58">
        <f t="shared" si="36"/>
        <v>0</v>
      </c>
      <c r="AF40" s="58">
        <f t="shared" si="36"/>
        <v>0</v>
      </c>
      <c r="AG40" s="58">
        <f t="shared" si="31"/>
        <v>0</v>
      </c>
    </row>
    <row r="41" spans="1:33" s="9" customFormat="1"/>
    <row r="42" spans="1:33" s="9" customFormat="1"/>
    <row r="43" spans="1:33" s="9" customFormat="1"/>
    <row r="44" spans="1:33" s="9" customFormat="1"/>
    <row r="45" spans="1:33" s="9" customFormat="1"/>
    <row r="46" spans="1:33" s="9" customFormat="1">
      <c r="A46" s="9" t="s">
        <v>399</v>
      </c>
      <c r="C46" s="83"/>
      <c r="D46" s="83"/>
      <c r="E46" s="83"/>
      <c r="F46" s="83"/>
      <c r="G46" s="83"/>
      <c r="H46" s="83"/>
      <c r="I46" s="83"/>
      <c r="J46" s="83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33" s="9" customFormat="1">
      <c r="A47" s="58"/>
      <c r="B47" s="9" t="s">
        <v>241</v>
      </c>
      <c r="C47" s="58">
        <v>72.900000000000006</v>
      </c>
      <c r="D47" s="58">
        <v>72.400000000000006</v>
      </c>
      <c r="E47" s="58">
        <v>71.7</v>
      </c>
      <c r="F47" s="58">
        <v>72.099999999999994</v>
      </c>
      <c r="G47" s="58">
        <v>73.099999999999994</v>
      </c>
      <c r="H47" s="58">
        <v>72.7</v>
      </c>
      <c r="I47" s="58">
        <v>71.900000000000006</v>
      </c>
      <c r="J47" s="58">
        <v>72.099999999999994</v>
      </c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Y47" s="101" t="s">
        <v>270</v>
      </c>
      <c r="Z47" s="101"/>
      <c r="AA47" s="101"/>
      <c r="AB47" s="101"/>
      <c r="AC47" s="101"/>
      <c r="AD47" s="101"/>
      <c r="AE47" s="101"/>
      <c r="AF47" s="101"/>
    </row>
    <row r="48" spans="1:33" s="9" customFormat="1">
      <c r="A48" s="58"/>
      <c r="B48" s="9" t="s">
        <v>364</v>
      </c>
      <c r="C48" s="83" t="s">
        <v>175</v>
      </c>
      <c r="D48" s="83" t="s">
        <v>176</v>
      </c>
      <c r="E48" s="83" t="s">
        <v>177</v>
      </c>
      <c r="F48" s="83" t="s">
        <v>178</v>
      </c>
      <c r="G48" s="83" t="s">
        <v>179</v>
      </c>
      <c r="H48" s="83" t="s">
        <v>180</v>
      </c>
      <c r="I48" s="83" t="s">
        <v>181</v>
      </c>
      <c r="J48" s="83" t="s">
        <v>182</v>
      </c>
      <c r="K48" s="53" t="s">
        <v>195</v>
      </c>
      <c r="L48" s="53" t="s">
        <v>183</v>
      </c>
      <c r="M48" s="53" t="s">
        <v>184</v>
      </c>
      <c r="N48" s="53" t="s">
        <v>185</v>
      </c>
      <c r="O48" s="53" t="s">
        <v>186</v>
      </c>
      <c r="P48" s="53"/>
      <c r="Q48" s="53"/>
      <c r="R48" s="53"/>
      <c r="S48" s="53"/>
      <c r="T48" s="53"/>
      <c r="U48" s="53"/>
      <c r="Y48" s="88" t="s">
        <v>175</v>
      </c>
      <c r="Z48" s="88" t="s">
        <v>176</v>
      </c>
      <c r="AA48" s="88" t="s">
        <v>177</v>
      </c>
      <c r="AB48" s="88" t="s">
        <v>178</v>
      </c>
      <c r="AC48" s="88" t="s">
        <v>179</v>
      </c>
      <c r="AD48" s="88" t="s">
        <v>180</v>
      </c>
      <c r="AE48" s="88" t="s">
        <v>181</v>
      </c>
      <c r="AF48" s="88" t="s">
        <v>182</v>
      </c>
    </row>
    <row r="49" spans="1:33" s="9" customFormat="1">
      <c r="A49" s="84"/>
      <c r="B49" s="84">
        <v>5</v>
      </c>
      <c r="C49" s="58">
        <v>2.2048000000000001</v>
      </c>
      <c r="D49" s="58">
        <v>2.2048000000000001</v>
      </c>
      <c r="E49" s="58">
        <v>2.2049500000000002</v>
      </c>
      <c r="F49" s="58">
        <v>2.2048000000000001</v>
      </c>
      <c r="G49" s="58">
        <v>2.2046000000000001</v>
      </c>
      <c r="H49" s="58">
        <v>2.2048999999999999</v>
      </c>
      <c r="I49" s="58">
        <v>2.2048000000000001</v>
      </c>
      <c r="J49" s="58">
        <v>2.2046000000000001</v>
      </c>
      <c r="K49" s="58">
        <f t="shared" ref="K49:K55" si="37">MIN(C49:J49)</f>
        <v>2.2046000000000001</v>
      </c>
      <c r="L49" s="58">
        <f t="shared" ref="L49:L55" si="38">MAX(C49:J49)</f>
        <v>2.2049500000000002</v>
      </c>
      <c r="M49" s="58">
        <f t="shared" ref="M49:M55" si="39">MODE(C49:J49)</f>
        <v>2.2048000000000001</v>
      </c>
      <c r="N49" s="58">
        <f t="shared" ref="N49:N55" si="40">K49-M49</f>
        <v>-1.9999999999997797E-4</v>
      </c>
      <c r="O49" s="58">
        <f t="shared" ref="O49:O55" si="41">L49-M49</f>
        <v>1.500000000000945E-4</v>
      </c>
      <c r="P49" s="58"/>
      <c r="Q49" s="84">
        <v>5</v>
      </c>
      <c r="R49" s="84">
        <v>5</v>
      </c>
      <c r="S49" s="84">
        <v>5</v>
      </c>
      <c r="T49" s="84">
        <v>5</v>
      </c>
      <c r="U49" s="84">
        <v>5</v>
      </c>
      <c r="V49" s="84">
        <v>5</v>
      </c>
      <c r="W49" s="84">
        <v>5</v>
      </c>
      <c r="X49" s="84">
        <v>5</v>
      </c>
      <c r="Y49" s="58">
        <f>AVERAGE(C49,C55)-AVERAGE(C$49,C$55)</f>
        <v>0</v>
      </c>
      <c r="Z49" s="58">
        <f t="shared" ref="Z49:AF49" si="42">AVERAGE(D49,D55)-AVERAGE(D$49,D$55)</f>
        <v>0</v>
      </c>
      <c r="AA49" s="58">
        <f t="shared" si="42"/>
        <v>0</v>
      </c>
      <c r="AB49" s="58">
        <f t="shared" si="42"/>
        <v>0</v>
      </c>
      <c r="AC49" s="58">
        <f t="shared" si="42"/>
        <v>0</v>
      </c>
      <c r="AD49" s="58">
        <f t="shared" si="42"/>
        <v>0</v>
      </c>
      <c r="AE49" s="58">
        <f t="shared" si="42"/>
        <v>0</v>
      </c>
      <c r="AF49" s="58">
        <f t="shared" si="42"/>
        <v>0</v>
      </c>
    </row>
    <row r="50" spans="1:33" s="9" customFormat="1">
      <c r="A50" s="84"/>
      <c r="B50" s="84">
        <v>19.75</v>
      </c>
      <c r="C50" s="58">
        <v>2.2049500000000002</v>
      </c>
      <c r="D50" s="58">
        <v>2.2048999999999999</v>
      </c>
      <c r="E50" s="58">
        <v>2.2048000000000001</v>
      </c>
      <c r="F50" s="58">
        <v>2.2049500000000002</v>
      </c>
      <c r="G50" s="58">
        <v>2.2048000000000001</v>
      </c>
      <c r="H50" s="58">
        <v>2.2050000000000001</v>
      </c>
      <c r="I50" s="58">
        <v>2.2050000000000001</v>
      </c>
      <c r="J50" s="58">
        <v>2.2048000000000001</v>
      </c>
      <c r="K50" s="58">
        <f t="shared" si="37"/>
        <v>2.2048000000000001</v>
      </c>
      <c r="L50" s="58">
        <f t="shared" si="38"/>
        <v>2.2050000000000001</v>
      </c>
      <c r="M50" s="58">
        <f t="shared" si="39"/>
        <v>2.2048000000000001</v>
      </c>
      <c r="N50" s="58">
        <f t="shared" si="40"/>
        <v>0</v>
      </c>
      <c r="O50" s="58">
        <f t="shared" si="41"/>
        <v>1.9999999999997797E-4</v>
      </c>
      <c r="P50" s="58"/>
      <c r="Q50" s="84">
        <v>19.75</v>
      </c>
      <c r="R50" s="84">
        <v>19.75</v>
      </c>
      <c r="S50" s="84">
        <v>19.75</v>
      </c>
      <c r="T50" s="84">
        <v>19.75</v>
      </c>
      <c r="U50" s="84">
        <v>19.75</v>
      </c>
      <c r="V50" s="84">
        <v>19.75</v>
      </c>
      <c r="W50" s="84">
        <v>19.75</v>
      </c>
      <c r="X50" s="84">
        <v>19.75</v>
      </c>
      <c r="Y50" s="58">
        <f>AVERAGE(C50,C54)-AVERAGE(C$49,C$55)</f>
        <v>1.2500000000059686E-4</v>
      </c>
      <c r="Z50" s="58">
        <f t="shared" ref="Z50:AF50" si="43">AVERAGE(D50,D54)-AVERAGE(D$49,D$55)</f>
        <v>4.9999999999883471E-5</v>
      </c>
      <c r="AA50" s="58">
        <f t="shared" si="43"/>
        <v>-4.9999999999883471E-5</v>
      </c>
      <c r="AB50" s="58">
        <f t="shared" si="43"/>
        <v>7.5000000000269296E-5</v>
      </c>
      <c r="AC50" s="58">
        <f t="shared" si="43"/>
        <v>1.9999999999997797E-4</v>
      </c>
      <c r="AD50" s="58">
        <f t="shared" si="43"/>
        <v>1.0000000000021103E-4</v>
      </c>
      <c r="AE50" s="58">
        <f t="shared" si="43"/>
        <v>1.7500000000003624E-4</v>
      </c>
      <c r="AF50" s="58">
        <f t="shared" si="43"/>
        <v>1.9999999999997797E-4</v>
      </c>
    </row>
    <row r="51" spans="1:33" s="9" customFormat="1">
      <c r="A51" s="84"/>
      <c r="B51" s="84">
        <v>45</v>
      </c>
      <c r="C51" s="58">
        <v>2.2050000000000001</v>
      </c>
      <c r="D51" s="58">
        <v>2.2049500000000002</v>
      </c>
      <c r="E51" s="58">
        <v>2.2050000000000001</v>
      </c>
      <c r="F51" s="58">
        <v>2.2050000000000001</v>
      </c>
      <c r="G51" s="58">
        <v>2.20485</v>
      </c>
      <c r="H51" s="58">
        <v>2.2049500000000002</v>
      </c>
      <c r="I51" s="58">
        <v>2.2050000000000001</v>
      </c>
      <c r="J51" s="58">
        <v>2.2050000000000001</v>
      </c>
      <c r="K51" s="58">
        <f t="shared" si="37"/>
        <v>2.20485</v>
      </c>
      <c r="L51" s="58">
        <f t="shared" si="38"/>
        <v>2.2050000000000001</v>
      </c>
      <c r="M51" s="58">
        <f t="shared" si="39"/>
        <v>2.2050000000000001</v>
      </c>
      <c r="N51" s="58">
        <f t="shared" si="40"/>
        <v>-1.500000000000945E-4</v>
      </c>
      <c r="O51" s="58">
        <f t="shared" si="41"/>
        <v>0</v>
      </c>
      <c r="P51" s="58"/>
      <c r="Q51" s="84">
        <v>45</v>
      </c>
      <c r="R51" s="84">
        <v>45</v>
      </c>
      <c r="S51" s="84">
        <v>45</v>
      </c>
      <c r="T51" s="84">
        <v>45</v>
      </c>
      <c r="U51" s="84">
        <v>45</v>
      </c>
      <c r="V51" s="84">
        <v>45</v>
      </c>
      <c r="W51" s="84">
        <v>45</v>
      </c>
      <c r="X51" s="84">
        <v>45</v>
      </c>
      <c r="Y51" s="58">
        <f>AVERAGE(C51,C53)-AVERAGE(C$49,C$55)</f>
        <v>1.5000000000053859E-4</v>
      </c>
      <c r="Z51" s="58">
        <f t="shared" ref="Z51" si="44">AVERAGE(D51,D53)-AVERAGE(D$34,D$40)</f>
        <v>7.5000000000269296E-5</v>
      </c>
      <c r="AA51" s="58">
        <f t="shared" ref="AA51" si="45">AVERAGE(E51,E53)-AVERAGE(E$34,E$40)</f>
        <v>1.7500000000003624E-4</v>
      </c>
      <c r="AB51" s="58">
        <f t="shared" ref="AB51" si="46">AVERAGE(F51,F53)-AVERAGE(F$34,F$40)</f>
        <v>1.2500000000015277E-4</v>
      </c>
      <c r="AC51" s="58">
        <f t="shared" ref="AC51" si="47">AVERAGE(G51,G53)-AVERAGE(G$34,G$40)</f>
        <v>1.500000000000945E-4</v>
      </c>
      <c r="AD51" s="58">
        <f t="shared" ref="AD51" si="48">AVERAGE(H51,H53)-AVERAGE(H$34,H$40)</f>
        <v>4.9999999999883471E-5</v>
      </c>
      <c r="AE51" s="58">
        <f t="shared" ref="AE51" si="49">AVERAGE(I51,I53)-AVERAGE(I$34,I$40)</f>
        <v>1.7500000000003624E-4</v>
      </c>
      <c r="AF51" s="58">
        <f t="shared" ref="AF51" si="50">AVERAGE(J51,J53)-AVERAGE(J$34,J$40)</f>
        <v>3.00000000000189E-4</v>
      </c>
    </row>
    <row r="52" spans="1:33" s="9" customFormat="1">
      <c r="A52" s="84"/>
      <c r="B52" s="84">
        <v>90</v>
      </c>
      <c r="C52" s="58">
        <v>2.2048999999999999</v>
      </c>
      <c r="D52" s="58">
        <v>2.2048999999999999</v>
      </c>
      <c r="E52" s="58">
        <v>2.2050000000000001</v>
      </c>
      <c r="F52" s="58">
        <v>2.2050000000000001</v>
      </c>
      <c r="G52" s="58">
        <v>2.2050000000000001</v>
      </c>
      <c r="H52" s="58">
        <v>2.2049500000000002</v>
      </c>
      <c r="I52" s="58">
        <v>2.2050999999999998</v>
      </c>
      <c r="J52" s="58">
        <v>2.2050999999999998</v>
      </c>
      <c r="K52" s="58">
        <f t="shared" si="37"/>
        <v>2.2048999999999999</v>
      </c>
      <c r="L52" s="58">
        <f t="shared" si="38"/>
        <v>2.2050999999999998</v>
      </c>
      <c r="M52" s="58">
        <f t="shared" si="39"/>
        <v>2.2050000000000001</v>
      </c>
      <c r="N52" s="58">
        <f t="shared" si="40"/>
        <v>-1.0000000000021103E-4</v>
      </c>
      <c r="O52" s="58">
        <f t="shared" si="41"/>
        <v>9.9999999999766942E-5</v>
      </c>
      <c r="P52" s="58"/>
      <c r="Q52" s="84">
        <v>90</v>
      </c>
      <c r="R52" s="84">
        <v>90</v>
      </c>
      <c r="S52" s="84">
        <v>90</v>
      </c>
      <c r="T52" s="84">
        <v>90</v>
      </c>
      <c r="U52" s="84">
        <v>90</v>
      </c>
      <c r="V52" s="84">
        <v>90</v>
      </c>
      <c r="W52" s="84">
        <v>90</v>
      </c>
      <c r="X52" s="84">
        <v>90</v>
      </c>
      <c r="Y52" s="58">
        <f>C52-AVERAGE(C$49,C$55)</f>
        <v>1.500000000000945E-4</v>
      </c>
      <c r="Z52" s="58">
        <f t="shared" ref="Z52:AF52" si="51">D52-AVERAGE(D$49,D$55)</f>
        <v>9.9999999999766942E-5</v>
      </c>
      <c r="AA52" s="58">
        <f t="shared" si="51"/>
        <v>4.9999999999883471E-5</v>
      </c>
      <c r="AB52" s="58">
        <f t="shared" si="51"/>
        <v>1.9999999999997797E-4</v>
      </c>
      <c r="AC52" s="58">
        <f t="shared" si="51"/>
        <v>3.9999999999995595E-4</v>
      </c>
      <c r="AD52" s="58">
        <f t="shared" si="51"/>
        <v>1.0000000000021103E-4</v>
      </c>
      <c r="AE52" s="58">
        <f t="shared" si="51"/>
        <v>2.9999999999974492E-4</v>
      </c>
      <c r="AF52" s="58">
        <f t="shared" si="51"/>
        <v>4.9999999999972289E-4</v>
      </c>
    </row>
    <row r="53" spans="1:33" s="9" customFormat="1">
      <c r="A53" s="84"/>
      <c r="B53" s="84">
        <v>135</v>
      </c>
      <c r="C53" s="58">
        <v>2.2048000000000001</v>
      </c>
      <c r="D53" s="58">
        <v>2.2048000000000001</v>
      </c>
      <c r="E53" s="58">
        <v>2.2049500000000002</v>
      </c>
      <c r="F53" s="58">
        <v>2.2048000000000001</v>
      </c>
      <c r="G53" s="58">
        <v>2.2048999999999999</v>
      </c>
      <c r="H53" s="58">
        <v>2.2049500000000002</v>
      </c>
      <c r="I53" s="58">
        <v>2.2049500000000002</v>
      </c>
      <c r="J53" s="58">
        <v>2.2050000000000001</v>
      </c>
      <c r="K53" s="58">
        <f t="shared" si="37"/>
        <v>2.2048000000000001</v>
      </c>
      <c r="L53" s="58">
        <f t="shared" si="38"/>
        <v>2.2050000000000001</v>
      </c>
      <c r="M53" s="58">
        <f t="shared" si="39"/>
        <v>2.2048000000000001</v>
      </c>
      <c r="N53" s="58">
        <f t="shared" si="40"/>
        <v>0</v>
      </c>
      <c r="O53" s="58">
        <f t="shared" si="41"/>
        <v>1.9999999999997797E-4</v>
      </c>
      <c r="P53" s="58"/>
      <c r="Q53" s="84">
        <v>135</v>
      </c>
      <c r="R53" s="84">
        <v>135</v>
      </c>
      <c r="S53" s="84">
        <v>135</v>
      </c>
      <c r="T53" s="84">
        <v>135</v>
      </c>
      <c r="U53" s="84">
        <v>135</v>
      </c>
      <c r="V53" s="84">
        <v>135</v>
      </c>
      <c r="W53" s="84">
        <v>135</v>
      </c>
      <c r="X53" s="84">
        <v>135</v>
      </c>
      <c r="Y53" s="58">
        <f>AVERAGE(C51,C53)-AVERAGE(C$49,C$55)</f>
        <v>1.5000000000053859E-4</v>
      </c>
      <c r="Z53" s="58">
        <f t="shared" ref="Z53:AF53" si="52">AVERAGE(D51,D53)-AVERAGE(D$49,D$55)</f>
        <v>7.5000000000269296E-5</v>
      </c>
      <c r="AA53" s="58">
        <f t="shared" si="52"/>
        <v>2.4999999999941735E-5</v>
      </c>
      <c r="AB53" s="58">
        <f t="shared" si="52"/>
        <v>1.0000000000021103E-4</v>
      </c>
      <c r="AC53" s="58">
        <f t="shared" si="52"/>
        <v>2.7499999999980318E-4</v>
      </c>
      <c r="AD53" s="58">
        <f t="shared" si="52"/>
        <v>1.0000000000021103E-4</v>
      </c>
      <c r="AE53" s="58">
        <f t="shared" si="52"/>
        <v>1.7500000000003624E-4</v>
      </c>
      <c r="AF53" s="58">
        <f t="shared" si="52"/>
        <v>3.9999999999995595E-4</v>
      </c>
    </row>
    <row r="54" spans="1:33" s="9" customFormat="1">
      <c r="A54" s="84"/>
      <c r="B54" s="84">
        <v>160.25</v>
      </c>
      <c r="C54" s="58">
        <v>2.2048000000000001</v>
      </c>
      <c r="D54" s="58">
        <v>2.2048000000000001</v>
      </c>
      <c r="E54" s="58">
        <v>2.2050000000000001</v>
      </c>
      <c r="F54" s="58">
        <v>2.2048000000000001</v>
      </c>
      <c r="G54" s="58">
        <v>2.2048000000000001</v>
      </c>
      <c r="H54" s="58">
        <v>2.2048999999999999</v>
      </c>
      <c r="I54" s="58">
        <v>2.2049500000000002</v>
      </c>
      <c r="J54" s="58">
        <v>2.2048000000000001</v>
      </c>
      <c r="K54" s="58">
        <f t="shared" si="37"/>
        <v>2.2048000000000001</v>
      </c>
      <c r="L54" s="58">
        <f t="shared" si="38"/>
        <v>2.2050000000000001</v>
      </c>
      <c r="M54" s="58">
        <f t="shared" si="39"/>
        <v>2.2048000000000001</v>
      </c>
      <c r="N54" s="58">
        <f t="shared" si="40"/>
        <v>0</v>
      </c>
      <c r="O54" s="58">
        <f t="shared" si="41"/>
        <v>1.9999999999997797E-4</v>
      </c>
      <c r="P54" s="58"/>
      <c r="Q54" s="84">
        <v>160.25</v>
      </c>
      <c r="R54" s="84">
        <v>160.25</v>
      </c>
      <c r="S54" s="84">
        <v>160.25</v>
      </c>
      <c r="T54" s="84">
        <v>160.25</v>
      </c>
      <c r="U54" s="84">
        <v>160.25</v>
      </c>
      <c r="V54" s="84">
        <v>160.25</v>
      </c>
      <c r="W54" s="84">
        <v>160.25</v>
      </c>
      <c r="X54" s="84">
        <v>160.25</v>
      </c>
      <c r="Y54" s="58">
        <f>AVERAGE(C50,C54)-AVERAGE(C$49,C$55)</f>
        <v>1.2500000000059686E-4</v>
      </c>
      <c r="Z54" s="58">
        <f t="shared" ref="Z54:AF54" si="53">AVERAGE(D50,D54)-AVERAGE(D$49,D$55)</f>
        <v>4.9999999999883471E-5</v>
      </c>
      <c r="AA54" s="58">
        <f t="shared" si="53"/>
        <v>-4.9999999999883471E-5</v>
      </c>
      <c r="AB54" s="58">
        <f t="shared" si="53"/>
        <v>7.5000000000269296E-5</v>
      </c>
      <c r="AC54" s="58">
        <f t="shared" si="53"/>
        <v>1.9999999999997797E-4</v>
      </c>
      <c r="AD54" s="58">
        <f t="shared" si="53"/>
        <v>1.0000000000021103E-4</v>
      </c>
      <c r="AE54" s="58">
        <f t="shared" si="53"/>
        <v>1.7500000000003624E-4</v>
      </c>
      <c r="AF54" s="58">
        <f t="shared" si="53"/>
        <v>1.9999999999997797E-4</v>
      </c>
    </row>
    <row r="55" spans="1:33" s="9" customFormat="1">
      <c r="A55" s="84"/>
      <c r="B55" s="84">
        <v>175</v>
      </c>
      <c r="C55" s="58">
        <v>2.2046999999999999</v>
      </c>
      <c r="D55" s="58">
        <v>2.2048000000000001</v>
      </c>
      <c r="E55" s="58">
        <v>2.2049500000000002</v>
      </c>
      <c r="F55" s="58">
        <v>2.2048000000000001</v>
      </c>
      <c r="G55" s="58">
        <v>2.2046000000000001</v>
      </c>
      <c r="H55" s="58">
        <v>2.2048000000000001</v>
      </c>
      <c r="I55" s="58">
        <v>2.2048000000000001</v>
      </c>
      <c r="J55" s="58">
        <v>2.2046000000000001</v>
      </c>
      <c r="K55" s="58">
        <f t="shared" si="37"/>
        <v>2.2046000000000001</v>
      </c>
      <c r="L55" s="58">
        <f t="shared" si="38"/>
        <v>2.2049500000000002</v>
      </c>
      <c r="M55" s="58">
        <f t="shared" si="39"/>
        <v>2.2048000000000001</v>
      </c>
      <c r="N55" s="58">
        <f t="shared" si="40"/>
        <v>-1.9999999999997797E-4</v>
      </c>
      <c r="O55" s="58">
        <f t="shared" si="41"/>
        <v>1.500000000000945E-4</v>
      </c>
      <c r="P55" s="58"/>
      <c r="Q55" s="84">
        <v>175</v>
      </c>
      <c r="R55" s="84">
        <v>175</v>
      </c>
      <c r="S55" s="84">
        <v>175</v>
      </c>
      <c r="T55" s="84">
        <v>175</v>
      </c>
      <c r="U55" s="84">
        <v>175</v>
      </c>
      <c r="V55" s="84">
        <v>175</v>
      </c>
      <c r="W55" s="84">
        <v>175</v>
      </c>
      <c r="X55" s="84">
        <v>175</v>
      </c>
      <c r="Y55" s="58">
        <f>AVERAGE(C49,C55)-AVERAGE(C$49,C$55)</f>
        <v>0</v>
      </c>
      <c r="Z55" s="58">
        <f t="shared" ref="Z55:AF55" si="54">AVERAGE(D49,D55)-AVERAGE(D$49,D$55)</f>
        <v>0</v>
      </c>
      <c r="AA55" s="58">
        <f t="shared" si="54"/>
        <v>0</v>
      </c>
      <c r="AB55" s="58">
        <f t="shared" si="54"/>
        <v>0</v>
      </c>
      <c r="AC55" s="58">
        <f t="shared" si="54"/>
        <v>0</v>
      </c>
      <c r="AD55" s="58">
        <f t="shared" si="54"/>
        <v>0</v>
      </c>
      <c r="AE55" s="58">
        <f t="shared" si="54"/>
        <v>0</v>
      </c>
      <c r="AF55" s="58">
        <f t="shared" si="54"/>
        <v>0</v>
      </c>
    </row>
    <row r="56" spans="1:33" s="9" customFormat="1">
      <c r="P56" s="9" t="s">
        <v>367</v>
      </c>
      <c r="Q56" s="84">
        <v>5</v>
      </c>
      <c r="R56" s="84">
        <v>5</v>
      </c>
      <c r="S56" s="84">
        <v>5</v>
      </c>
      <c r="T56" s="84">
        <v>5</v>
      </c>
      <c r="U56" s="84">
        <v>5</v>
      </c>
      <c r="V56" s="84">
        <v>5</v>
      </c>
      <c r="W56" s="84">
        <v>5</v>
      </c>
      <c r="X56" s="84">
        <v>5</v>
      </c>
      <c r="Y56" s="58">
        <f>Y49-$AG34</f>
        <v>0</v>
      </c>
      <c r="Z56" s="58">
        <f t="shared" ref="Z56:AF56" si="55">Z49-$AG34</f>
        <v>0</v>
      </c>
      <c r="AA56" s="58">
        <f t="shared" si="55"/>
        <v>0</v>
      </c>
      <c r="AB56" s="58">
        <f t="shared" si="55"/>
        <v>0</v>
      </c>
      <c r="AC56" s="58">
        <f t="shared" si="55"/>
        <v>0</v>
      </c>
      <c r="AD56" s="58">
        <f t="shared" si="55"/>
        <v>0</v>
      </c>
      <c r="AE56" s="58">
        <f t="shared" si="55"/>
        <v>0</v>
      </c>
      <c r="AF56" s="58">
        <f t="shared" si="55"/>
        <v>0</v>
      </c>
      <c r="AG56" s="9" t="s">
        <v>367</v>
      </c>
    </row>
    <row r="57" spans="1:33" s="9" customFormat="1">
      <c r="P57" s="9" t="s">
        <v>367</v>
      </c>
      <c r="Q57" s="84">
        <v>19.75</v>
      </c>
      <c r="R57" s="84">
        <v>19.75</v>
      </c>
      <c r="S57" s="84">
        <v>19.75</v>
      </c>
      <c r="T57" s="84">
        <v>19.75</v>
      </c>
      <c r="U57" s="84">
        <v>19.75</v>
      </c>
      <c r="V57" s="84">
        <v>19.75</v>
      </c>
      <c r="W57" s="84">
        <v>19.75</v>
      </c>
      <c r="X57" s="84">
        <v>19.75</v>
      </c>
      <c r="Y57" s="58">
        <f>Y50-$AG35</f>
        <v>1.6562500000072422E-4</v>
      </c>
      <c r="Z57" s="58">
        <f t="shared" ref="Z57:AF57" si="56">Z50-$AG35</f>
        <v>9.0625000000010836E-5</v>
      </c>
      <c r="AA57" s="58">
        <f t="shared" si="56"/>
        <v>-9.3749999997561062E-6</v>
      </c>
      <c r="AB57" s="58">
        <f t="shared" si="56"/>
        <v>1.1562500000039666E-4</v>
      </c>
      <c r="AC57" s="58">
        <f t="shared" si="56"/>
        <v>2.4062500000010534E-4</v>
      </c>
      <c r="AD57" s="58">
        <f t="shared" si="56"/>
        <v>1.406250000003384E-4</v>
      </c>
      <c r="AE57" s="58">
        <f t="shared" si="56"/>
        <v>2.156250000001636E-4</v>
      </c>
      <c r="AF57" s="58">
        <f t="shared" si="56"/>
        <v>2.4062500000010534E-4</v>
      </c>
      <c r="AG57" s="9" t="s">
        <v>367</v>
      </c>
    </row>
    <row r="58" spans="1:33" s="9" customFormat="1">
      <c r="P58" s="9" t="s">
        <v>367</v>
      </c>
      <c r="Q58" s="84">
        <v>45</v>
      </c>
      <c r="R58" s="84">
        <v>45</v>
      </c>
      <c r="S58" s="84">
        <v>45</v>
      </c>
      <c r="T58" s="84">
        <v>45</v>
      </c>
      <c r="U58" s="84">
        <v>45</v>
      </c>
      <c r="V58" s="84">
        <v>45</v>
      </c>
      <c r="W58" s="84">
        <v>45</v>
      </c>
      <c r="X58" s="84">
        <v>45</v>
      </c>
      <c r="Y58" s="58">
        <f>Y51-$AG36</f>
        <v>3.0312500000051479E-4</v>
      </c>
      <c r="Z58" s="58">
        <f t="shared" ref="Z58:AF58" si="57">Z51-$AG36</f>
        <v>2.2812500000024549E-4</v>
      </c>
      <c r="AA58" s="58">
        <f t="shared" si="57"/>
        <v>3.2812500000001243E-4</v>
      </c>
      <c r="AB58" s="58">
        <f t="shared" si="57"/>
        <v>2.7812500000012896E-4</v>
      </c>
      <c r="AC58" s="58">
        <f t="shared" si="57"/>
        <v>3.031250000000707E-4</v>
      </c>
      <c r="AD58" s="58">
        <f t="shared" si="57"/>
        <v>2.0312499999985967E-4</v>
      </c>
      <c r="AE58" s="58">
        <f t="shared" si="57"/>
        <v>3.2812500000001243E-4</v>
      </c>
      <c r="AF58" s="58">
        <f t="shared" si="57"/>
        <v>4.531250000001652E-4</v>
      </c>
      <c r="AG58" s="9" t="s">
        <v>367</v>
      </c>
    </row>
    <row r="59" spans="1:33" s="9" customFormat="1">
      <c r="P59" s="9" t="s">
        <v>367</v>
      </c>
      <c r="Q59" s="84">
        <v>90</v>
      </c>
      <c r="R59" s="84">
        <v>90</v>
      </c>
      <c r="S59" s="84">
        <v>90</v>
      </c>
      <c r="T59" s="84">
        <v>90</v>
      </c>
      <c r="U59" s="84">
        <v>90</v>
      </c>
      <c r="V59" s="84">
        <v>90</v>
      </c>
      <c r="W59" s="84">
        <v>90</v>
      </c>
      <c r="X59" s="84">
        <v>90</v>
      </c>
      <c r="Y59" s="58">
        <f t="shared" ref="Y59:AF59" si="58">Y52-$AG37</f>
        <v>3.7500000000006972E-4</v>
      </c>
      <c r="Z59" s="58">
        <f t="shared" si="58"/>
        <v>3.2499999999974216E-4</v>
      </c>
      <c r="AA59" s="58">
        <f t="shared" si="58"/>
        <v>2.7499999999985869E-4</v>
      </c>
      <c r="AB59" s="58">
        <f t="shared" si="58"/>
        <v>4.2499999999995319E-4</v>
      </c>
      <c r="AC59" s="58">
        <f t="shared" si="58"/>
        <v>6.2499999999993117E-4</v>
      </c>
      <c r="AD59" s="58">
        <f t="shared" si="58"/>
        <v>3.2500000000018625E-4</v>
      </c>
      <c r="AE59" s="58">
        <f t="shared" si="58"/>
        <v>5.2499999999972013E-4</v>
      </c>
      <c r="AF59" s="58">
        <f t="shared" si="58"/>
        <v>7.2499999999969811E-4</v>
      </c>
      <c r="AG59" s="9" t="s">
        <v>367</v>
      </c>
    </row>
    <row r="60" spans="1:33" s="9" customFormat="1">
      <c r="P60" s="9" t="s">
        <v>367</v>
      </c>
      <c r="Q60" s="84">
        <v>135</v>
      </c>
      <c r="R60" s="84">
        <v>135</v>
      </c>
      <c r="S60" s="84">
        <v>135</v>
      </c>
      <c r="T60" s="84">
        <v>135</v>
      </c>
      <c r="U60" s="84">
        <v>135</v>
      </c>
      <c r="V60" s="84">
        <v>135</v>
      </c>
      <c r="W60" s="84">
        <v>135</v>
      </c>
      <c r="X60" s="84">
        <v>135</v>
      </c>
      <c r="Y60" s="58">
        <f t="shared" ref="Y60:AF60" si="59">Y53-$AG38</f>
        <v>3.0312500000051479E-4</v>
      </c>
      <c r="Z60" s="58">
        <f t="shared" si="59"/>
        <v>2.2812500000024549E-4</v>
      </c>
      <c r="AA60" s="58">
        <f t="shared" si="59"/>
        <v>1.7812499999991793E-4</v>
      </c>
      <c r="AB60" s="58">
        <f t="shared" si="59"/>
        <v>2.5312500000018723E-4</v>
      </c>
      <c r="AC60" s="58">
        <f t="shared" si="59"/>
        <v>4.2812499999977938E-4</v>
      </c>
      <c r="AD60" s="58">
        <f t="shared" si="59"/>
        <v>2.5312500000018723E-4</v>
      </c>
      <c r="AE60" s="58">
        <f t="shared" si="59"/>
        <v>3.2812500000001243E-4</v>
      </c>
      <c r="AF60" s="58">
        <f t="shared" si="59"/>
        <v>5.5312499999993214E-4</v>
      </c>
      <c r="AG60" s="9" t="s">
        <v>367</v>
      </c>
    </row>
    <row r="61" spans="1:33">
      <c r="P61" s="9" t="s">
        <v>367</v>
      </c>
      <c r="Q61" s="84">
        <v>160.25</v>
      </c>
      <c r="R61" s="84">
        <v>160.25</v>
      </c>
      <c r="S61" s="84">
        <v>160.25</v>
      </c>
      <c r="T61" s="84">
        <v>160.25</v>
      </c>
      <c r="U61" s="84">
        <v>160.25</v>
      </c>
      <c r="V61" s="84">
        <v>160.25</v>
      </c>
      <c r="W61" s="84">
        <v>160.25</v>
      </c>
      <c r="X61" s="84">
        <v>160.25</v>
      </c>
      <c r="Y61" s="58">
        <f t="shared" ref="Y61:AF61" si="60">Y54-$AG39</f>
        <v>1.6562500000072422E-4</v>
      </c>
      <c r="Z61" s="58">
        <f t="shared" si="60"/>
        <v>9.0625000000010836E-5</v>
      </c>
      <c r="AA61" s="58">
        <f t="shared" si="60"/>
        <v>-9.3749999997561062E-6</v>
      </c>
      <c r="AB61" s="58">
        <f t="shared" si="60"/>
        <v>1.1562500000039666E-4</v>
      </c>
      <c r="AC61" s="58">
        <f t="shared" si="60"/>
        <v>2.4062500000010534E-4</v>
      </c>
      <c r="AD61" s="58">
        <f t="shared" si="60"/>
        <v>1.406250000003384E-4</v>
      </c>
      <c r="AE61" s="58">
        <f t="shared" si="60"/>
        <v>2.156250000001636E-4</v>
      </c>
      <c r="AF61" s="58">
        <f t="shared" si="60"/>
        <v>2.4062500000010534E-4</v>
      </c>
      <c r="AG61" s="9" t="s">
        <v>367</v>
      </c>
    </row>
    <row r="62" spans="1:33">
      <c r="A62" s="9"/>
      <c r="B62" s="9"/>
      <c r="C62" s="83"/>
      <c r="D62" s="83"/>
      <c r="E62" s="83"/>
      <c r="F62" s="83"/>
      <c r="G62" s="83"/>
      <c r="H62" s="83"/>
      <c r="I62" s="83"/>
      <c r="J62" s="83"/>
      <c r="K62" s="58"/>
      <c r="L62" s="58"/>
      <c r="M62" s="58"/>
      <c r="N62" s="58"/>
      <c r="O62" s="58"/>
      <c r="P62" s="9" t="s">
        <v>367</v>
      </c>
      <c r="Q62" s="84">
        <v>175</v>
      </c>
      <c r="R62" s="84">
        <v>175</v>
      </c>
      <c r="S62" s="84">
        <v>175</v>
      </c>
      <c r="T62" s="84">
        <v>175</v>
      </c>
      <c r="U62" s="84">
        <v>175</v>
      </c>
      <c r="V62" s="84">
        <v>175</v>
      </c>
      <c r="W62" s="84">
        <v>175</v>
      </c>
      <c r="X62" s="84">
        <v>175</v>
      </c>
      <c r="Y62" s="58">
        <f t="shared" ref="Y62:AF62" si="61">Y55-$AG40</f>
        <v>0</v>
      </c>
      <c r="Z62" s="58">
        <f t="shared" si="61"/>
        <v>0</v>
      </c>
      <c r="AA62" s="58">
        <f t="shared" si="61"/>
        <v>0</v>
      </c>
      <c r="AB62" s="58">
        <f t="shared" si="61"/>
        <v>0</v>
      </c>
      <c r="AC62" s="58">
        <f t="shared" si="61"/>
        <v>0</v>
      </c>
      <c r="AD62" s="58">
        <f t="shared" si="61"/>
        <v>0</v>
      </c>
      <c r="AE62" s="58">
        <f t="shared" si="61"/>
        <v>0</v>
      </c>
      <c r="AF62" s="58">
        <f t="shared" si="61"/>
        <v>0</v>
      </c>
      <c r="AG62" s="9" t="s">
        <v>367</v>
      </c>
    </row>
    <row r="63" spans="1:33" s="9" customFormat="1">
      <c r="A63" s="9" t="s">
        <v>400</v>
      </c>
      <c r="C63" s="83"/>
      <c r="D63" s="83"/>
      <c r="E63" s="83"/>
      <c r="F63" s="83"/>
      <c r="G63" s="83"/>
      <c r="H63" s="83"/>
      <c r="I63" s="83"/>
      <c r="J63" s="83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33" s="9" customFormat="1">
      <c r="A64" s="58"/>
      <c r="B64" s="9" t="s">
        <v>241</v>
      </c>
      <c r="C64" s="58">
        <v>72.900000000000006</v>
      </c>
      <c r="D64" s="58">
        <v>72.900000000000006</v>
      </c>
      <c r="E64" s="58">
        <v>72.599999999999994</v>
      </c>
      <c r="F64" s="58">
        <v>72.8</v>
      </c>
      <c r="G64" s="58">
        <v>72.5</v>
      </c>
      <c r="H64" s="58">
        <v>73.2</v>
      </c>
      <c r="I64" s="58">
        <v>73.2</v>
      </c>
      <c r="J64" s="58">
        <v>72.7</v>
      </c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Y64" s="101" t="s">
        <v>270</v>
      </c>
      <c r="Z64" s="101"/>
      <c r="AA64" s="101"/>
      <c r="AB64" s="101"/>
      <c r="AC64" s="101"/>
      <c r="AD64" s="101"/>
      <c r="AE64" s="101"/>
      <c r="AF64" s="101"/>
    </row>
    <row r="65" spans="1:33" s="9" customFormat="1">
      <c r="A65" s="58"/>
      <c r="B65" s="9" t="s">
        <v>364</v>
      </c>
      <c r="C65" s="83" t="s">
        <v>175</v>
      </c>
      <c r="D65" s="83" t="s">
        <v>176</v>
      </c>
      <c r="E65" s="83" t="s">
        <v>177</v>
      </c>
      <c r="F65" s="83" t="s">
        <v>178</v>
      </c>
      <c r="G65" s="83" t="s">
        <v>179</v>
      </c>
      <c r="H65" s="83" t="s">
        <v>180</v>
      </c>
      <c r="I65" s="83" t="s">
        <v>181</v>
      </c>
      <c r="J65" s="83" t="s">
        <v>182</v>
      </c>
      <c r="K65" s="53" t="s">
        <v>195</v>
      </c>
      <c r="L65" s="53" t="s">
        <v>183</v>
      </c>
      <c r="M65" s="53" t="s">
        <v>184</v>
      </c>
      <c r="N65" s="53" t="s">
        <v>185</v>
      </c>
      <c r="O65" s="53" t="s">
        <v>186</v>
      </c>
      <c r="P65" s="53"/>
      <c r="Q65" s="53"/>
      <c r="R65" s="53"/>
      <c r="S65" s="53"/>
      <c r="T65" s="53"/>
      <c r="U65" s="53"/>
      <c r="Y65" s="88" t="s">
        <v>175</v>
      </c>
      <c r="Z65" s="88" t="s">
        <v>176</v>
      </c>
      <c r="AA65" s="88" t="s">
        <v>177</v>
      </c>
      <c r="AB65" s="88" t="s">
        <v>178</v>
      </c>
      <c r="AC65" s="88" t="s">
        <v>179</v>
      </c>
      <c r="AD65" s="88" t="s">
        <v>180</v>
      </c>
      <c r="AE65" s="88" t="s">
        <v>181</v>
      </c>
      <c r="AF65" s="88" t="s">
        <v>182</v>
      </c>
    </row>
    <row r="66" spans="1:33" s="9" customFormat="1">
      <c r="A66" s="84"/>
      <c r="B66" s="84">
        <v>5</v>
      </c>
      <c r="C66" s="58">
        <v>2.2048999999999999</v>
      </c>
      <c r="D66" s="58">
        <v>2.2048999999999999</v>
      </c>
      <c r="E66" s="58">
        <v>2.2049500000000002</v>
      </c>
      <c r="F66" s="58">
        <v>2.2048999999999999</v>
      </c>
      <c r="G66" s="58">
        <v>2.20485</v>
      </c>
      <c r="H66" s="58">
        <v>2.2050000000000001</v>
      </c>
      <c r="I66" s="58">
        <v>2.2050000000000001</v>
      </c>
      <c r="J66" s="58">
        <v>2.20485</v>
      </c>
      <c r="K66" s="58">
        <f t="shared" ref="K66:K72" si="62">MIN(C66:J66)</f>
        <v>2.20485</v>
      </c>
      <c r="L66" s="58">
        <f t="shared" ref="L66:L72" si="63">MAX(C66:J66)</f>
        <v>2.2050000000000001</v>
      </c>
      <c r="M66" s="58">
        <f t="shared" ref="M66:M72" si="64">MODE(C66:J66)</f>
        <v>2.2048999999999999</v>
      </c>
      <c r="N66" s="58">
        <f t="shared" ref="N66:N72" si="65">K66-M66</f>
        <v>-4.9999999999883471E-5</v>
      </c>
      <c r="O66" s="58">
        <f t="shared" ref="O66:O72" si="66">L66-M66</f>
        <v>1.0000000000021103E-4</v>
      </c>
      <c r="P66" s="58"/>
      <c r="Q66" s="84">
        <v>5</v>
      </c>
      <c r="R66" s="84">
        <v>5</v>
      </c>
      <c r="S66" s="84">
        <v>5</v>
      </c>
      <c r="T66" s="84">
        <v>5</v>
      </c>
      <c r="U66" s="84">
        <v>5</v>
      </c>
      <c r="V66" s="84">
        <v>5</v>
      </c>
      <c r="W66" s="84">
        <v>5</v>
      </c>
      <c r="X66" s="84">
        <v>5</v>
      </c>
      <c r="Y66" s="58">
        <f>AVERAGE(C66,C72)-AVERAGE(C$66,C$72)</f>
        <v>0</v>
      </c>
      <c r="Z66" s="58">
        <f t="shared" ref="Z66:AF66" si="67">AVERAGE(D66,D72)-AVERAGE(D$66,D$72)</f>
        <v>0</v>
      </c>
      <c r="AA66" s="58">
        <f t="shared" si="67"/>
        <v>0</v>
      </c>
      <c r="AB66" s="58">
        <f t="shared" si="67"/>
        <v>0</v>
      </c>
      <c r="AC66" s="58">
        <f t="shared" si="67"/>
        <v>0</v>
      </c>
      <c r="AD66" s="58">
        <f t="shared" si="67"/>
        <v>0</v>
      </c>
      <c r="AE66" s="58">
        <f t="shared" si="67"/>
        <v>0</v>
      </c>
      <c r="AF66" s="58">
        <f t="shared" si="67"/>
        <v>0</v>
      </c>
    </row>
    <row r="67" spans="1:33" s="9" customFormat="1">
      <c r="A67" s="84"/>
      <c r="B67" s="84">
        <v>19.75</v>
      </c>
      <c r="C67" s="58">
        <v>2.2050000000000001</v>
      </c>
      <c r="D67" s="58">
        <v>2.2048999999999999</v>
      </c>
      <c r="E67" s="58">
        <v>2.2048000000000001</v>
      </c>
      <c r="F67" s="58">
        <v>2.2048999999999999</v>
      </c>
      <c r="G67" s="58">
        <v>2.20485</v>
      </c>
      <c r="H67" s="58">
        <v>2.2048999999999999</v>
      </c>
      <c r="I67" s="58">
        <v>2.20485</v>
      </c>
      <c r="J67" s="58">
        <v>2.20485</v>
      </c>
      <c r="K67" s="58">
        <f t="shared" si="62"/>
        <v>2.2048000000000001</v>
      </c>
      <c r="L67" s="58">
        <f t="shared" si="63"/>
        <v>2.2050000000000001</v>
      </c>
      <c r="M67" s="58">
        <f t="shared" si="64"/>
        <v>2.2048999999999999</v>
      </c>
      <c r="N67" s="58">
        <f t="shared" si="65"/>
        <v>-9.9999999999766942E-5</v>
      </c>
      <c r="O67" s="58">
        <f t="shared" si="66"/>
        <v>1.0000000000021103E-4</v>
      </c>
      <c r="P67" s="58"/>
      <c r="Q67" s="84">
        <v>19.75</v>
      </c>
      <c r="R67" s="84">
        <v>19.75</v>
      </c>
      <c r="S67" s="84">
        <v>19.75</v>
      </c>
      <c r="T67" s="84">
        <v>19.75</v>
      </c>
      <c r="U67" s="84">
        <v>19.75</v>
      </c>
      <c r="V67" s="84">
        <v>19.75</v>
      </c>
      <c r="W67" s="84">
        <v>19.75</v>
      </c>
      <c r="X67" s="84">
        <v>19.75</v>
      </c>
      <c r="Y67" s="58">
        <f>AVERAGE(C67,C71)-AVERAGE(C$66,C$72)</f>
        <v>0</v>
      </c>
      <c r="Z67" s="58">
        <f t="shared" ref="Z67:AF67" si="68">AVERAGE(D67,D71)-AVERAGE(D$66,D$72)</f>
        <v>-1.0000000000021103E-4</v>
      </c>
      <c r="AA67" s="58">
        <f t="shared" si="68"/>
        <v>-1.2500000000015277E-4</v>
      </c>
      <c r="AB67" s="58">
        <f t="shared" si="68"/>
        <v>-2.4999999999941735E-5</v>
      </c>
      <c r="AC67" s="58">
        <f t="shared" si="68"/>
        <v>0</v>
      </c>
      <c r="AD67" s="58">
        <f t="shared" si="68"/>
        <v>-1.0000000000021103E-4</v>
      </c>
      <c r="AE67" s="58">
        <f t="shared" si="68"/>
        <v>-7.4999999999825206E-5</v>
      </c>
      <c r="AF67" s="58">
        <f t="shared" si="68"/>
        <v>0</v>
      </c>
    </row>
    <row r="68" spans="1:33" s="9" customFormat="1">
      <c r="A68" s="84"/>
      <c r="B68" s="84">
        <v>45</v>
      </c>
      <c r="C68" s="58">
        <v>2.2047500000000002</v>
      </c>
      <c r="D68" s="58">
        <v>2.2048000000000001</v>
      </c>
      <c r="E68" s="58">
        <v>2.2047500000000002</v>
      </c>
      <c r="F68" s="58">
        <v>2.2047500000000002</v>
      </c>
      <c r="G68" s="58">
        <v>2.20485</v>
      </c>
      <c r="H68" s="58">
        <v>2.2047500000000002</v>
      </c>
      <c r="I68" s="58">
        <v>2.2046999999999999</v>
      </c>
      <c r="J68" s="58">
        <v>2.2046000000000001</v>
      </c>
      <c r="K68" s="58">
        <f t="shared" si="62"/>
        <v>2.2046000000000001</v>
      </c>
      <c r="L68" s="58">
        <f t="shared" si="63"/>
        <v>2.20485</v>
      </c>
      <c r="M68" s="58">
        <f t="shared" si="64"/>
        <v>2.2047500000000002</v>
      </c>
      <c r="N68" s="58">
        <f t="shared" si="65"/>
        <v>-1.500000000000945E-4</v>
      </c>
      <c r="O68" s="58">
        <f t="shared" si="66"/>
        <v>9.9999999999766942E-5</v>
      </c>
      <c r="P68" s="58"/>
      <c r="Q68" s="84">
        <v>45</v>
      </c>
      <c r="R68" s="84">
        <v>45</v>
      </c>
      <c r="S68" s="84">
        <v>45</v>
      </c>
      <c r="T68" s="84">
        <v>45</v>
      </c>
      <c r="U68" s="84">
        <v>45</v>
      </c>
      <c r="V68" s="84">
        <v>45</v>
      </c>
      <c r="W68" s="84">
        <v>45</v>
      </c>
      <c r="X68" s="84">
        <v>45</v>
      </c>
      <c r="Y68" s="58">
        <f>AVERAGE(C68,C70)-AVERAGE(C$66,C$72)</f>
        <v>-1.7500000000003624E-4</v>
      </c>
      <c r="Z68" s="58">
        <f t="shared" ref="Z68:AF68" si="69">AVERAGE(D68,D70)-AVERAGE(D$66,D$72)</f>
        <v>-1.9999999999997797E-4</v>
      </c>
      <c r="AA68" s="58">
        <f t="shared" si="69"/>
        <v>-1.9999999999997797E-4</v>
      </c>
      <c r="AB68" s="58">
        <f t="shared" si="69"/>
        <v>-2.2499999999991971E-4</v>
      </c>
      <c r="AC68" s="58">
        <f t="shared" si="69"/>
        <v>-1.500000000000945E-4</v>
      </c>
      <c r="AD68" s="58">
        <f t="shared" si="69"/>
        <v>-3.00000000000189E-4</v>
      </c>
      <c r="AE68" s="58">
        <f t="shared" si="69"/>
        <v>-2.250000000003638E-4</v>
      </c>
      <c r="AF68" s="58">
        <f t="shared" si="69"/>
        <v>-2.2499999999991971E-4</v>
      </c>
    </row>
    <row r="69" spans="1:33" s="9" customFormat="1">
      <c r="A69" s="84"/>
      <c r="B69" s="84">
        <v>90</v>
      </c>
      <c r="C69" s="58">
        <v>2.2046000000000001</v>
      </c>
      <c r="D69" s="58">
        <v>2.2046000000000001</v>
      </c>
      <c r="E69" s="58">
        <v>2.2047500000000002</v>
      </c>
      <c r="F69" s="58">
        <v>2.2046000000000001</v>
      </c>
      <c r="G69" s="58">
        <v>2.2046999999999999</v>
      </c>
      <c r="H69" s="58">
        <v>2.2046000000000001</v>
      </c>
      <c r="I69" s="58">
        <v>2.2046000000000001</v>
      </c>
      <c r="J69" s="58">
        <v>2.2046000000000001</v>
      </c>
      <c r="K69" s="58">
        <f t="shared" si="62"/>
        <v>2.2046000000000001</v>
      </c>
      <c r="L69" s="58">
        <f t="shared" si="63"/>
        <v>2.2047500000000002</v>
      </c>
      <c r="M69" s="58">
        <f t="shared" si="64"/>
        <v>2.2046000000000001</v>
      </c>
      <c r="N69" s="58">
        <f t="shared" si="65"/>
        <v>0</v>
      </c>
      <c r="O69" s="58">
        <f t="shared" si="66"/>
        <v>1.500000000000945E-4</v>
      </c>
      <c r="P69" s="58"/>
      <c r="Q69" s="84">
        <v>90</v>
      </c>
      <c r="R69" s="84">
        <v>90</v>
      </c>
      <c r="S69" s="84">
        <v>90</v>
      </c>
      <c r="T69" s="84">
        <v>90</v>
      </c>
      <c r="U69" s="84">
        <v>90</v>
      </c>
      <c r="V69" s="84">
        <v>90</v>
      </c>
      <c r="W69" s="84">
        <v>90</v>
      </c>
      <c r="X69" s="84">
        <v>90</v>
      </c>
      <c r="Y69" s="58">
        <f>C69-AVERAGE(C$66,C$72)</f>
        <v>-2.4999999999986144E-4</v>
      </c>
      <c r="Z69" s="58">
        <f t="shared" ref="Z69:AF69" si="70">D69-AVERAGE(D$66,D$72)</f>
        <v>-2.9999999999974492E-4</v>
      </c>
      <c r="AA69" s="58">
        <f t="shared" si="70"/>
        <v>-2.2499999999991971E-4</v>
      </c>
      <c r="AB69" s="58">
        <f t="shared" si="70"/>
        <v>-2.9999999999974492E-4</v>
      </c>
      <c r="AC69" s="58">
        <f t="shared" si="70"/>
        <v>-1.7500000000003624E-4</v>
      </c>
      <c r="AD69" s="58">
        <f t="shared" si="70"/>
        <v>-3.7500000000001421E-4</v>
      </c>
      <c r="AE69" s="58">
        <f t="shared" si="70"/>
        <v>-3.7500000000001421E-4</v>
      </c>
      <c r="AF69" s="58">
        <f t="shared" si="70"/>
        <v>-2.2499999999991971E-4</v>
      </c>
    </row>
    <row r="70" spans="1:33" s="9" customFormat="1">
      <c r="A70" s="84"/>
      <c r="B70" s="84">
        <v>135</v>
      </c>
      <c r="C70" s="58">
        <v>2.2046000000000001</v>
      </c>
      <c r="D70" s="58">
        <v>2.2046000000000001</v>
      </c>
      <c r="E70" s="58">
        <v>2.2048000000000001</v>
      </c>
      <c r="F70" s="58">
        <v>2.2046000000000001</v>
      </c>
      <c r="G70" s="58">
        <v>2.2046000000000001</v>
      </c>
      <c r="H70" s="58">
        <v>2.2046000000000001</v>
      </c>
      <c r="I70" s="58">
        <v>2.2048000000000001</v>
      </c>
      <c r="J70" s="58">
        <v>2.2046000000000001</v>
      </c>
      <c r="K70" s="58">
        <f t="shared" si="62"/>
        <v>2.2046000000000001</v>
      </c>
      <c r="L70" s="58">
        <f t="shared" si="63"/>
        <v>2.2048000000000001</v>
      </c>
      <c r="M70" s="58">
        <f t="shared" si="64"/>
        <v>2.2046000000000001</v>
      </c>
      <c r="N70" s="58">
        <f t="shared" si="65"/>
        <v>0</v>
      </c>
      <c r="O70" s="58">
        <f t="shared" si="66"/>
        <v>1.9999999999997797E-4</v>
      </c>
      <c r="P70" s="58"/>
      <c r="Q70" s="84">
        <v>135</v>
      </c>
      <c r="R70" s="84">
        <v>135</v>
      </c>
      <c r="S70" s="84">
        <v>135</v>
      </c>
      <c r="T70" s="84">
        <v>135</v>
      </c>
      <c r="U70" s="84">
        <v>135</v>
      </c>
      <c r="V70" s="84">
        <v>135</v>
      </c>
      <c r="W70" s="84">
        <v>135</v>
      </c>
      <c r="X70" s="84">
        <v>135</v>
      </c>
      <c r="Y70" s="58">
        <f>AVERAGE(C68,C70)-AVERAGE(C$66,C$72)</f>
        <v>-1.7500000000003624E-4</v>
      </c>
      <c r="Z70" s="58">
        <f t="shared" ref="Z70:AF70" si="71">AVERAGE(D68,D70)-AVERAGE(D$66,D$72)</f>
        <v>-1.9999999999997797E-4</v>
      </c>
      <c r="AA70" s="58">
        <f t="shared" si="71"/>
        <v>-1.9999999999997797E-4</v>
      </c>
      <c r="AB70" s="58">
        <f t="shared" si="71"/>
        <v>-2.2499999999991971E-4</v>
      </c>
      <c r="AC70" s="58">
        <f t="shared" si="71"/>
        <v>-1.500000000000945E-4</v>
      </c>
      <c r="AD70" s="58">
        <f t="shared" si="71"/>
        <v>-3.00000000000189E-4</v>
      </c>
      <c r="AE70" s="58">
        <f t="shared" si="71"/>
        <v>-2.250000000003638E-4</v>
      </c>
      <c r="AF70" s="58">
        <f t="shared" si="71"/>
        <v>-2.2499999999991971E-4</v>
      </c>
    </row>
    <row r="71" spans="1:33" s="9" customFormat="1">
      <c r="A71" s="84"/>
      <c r="B71" s="84">
        <v>160.25</v>
      </c>
      <c r="C71" s="58">
        <v>2.2046999999999999</v>
      </c>
      <c r="D71" s="58">
        <v>2.2046999999999999</v>
      </c>
      <c r="E71" s="58">
        <v>2.2048999999999999</v>
      </c>
      <c r="F71" s="58">
        <v>2.20485</v>
      </c>
      <c r="G71" s="58">
        <v>2.2048999999999999</v>
      </c>
      <c r="H71" s="58">
        <v>2.20485</v>
      </c>
      <c r="I71" s="58">
        <v>2.2049500000000002</v>
      </c>
      <c r="J71" s="58">
        <v>2.2048000000000001</v>
      </c>
      <c r="K71" s="58">
        <f t="shared" si="62"/>
        <v>2.2046999999999999</v>
      </c>
      <c r="L71" s="58">
        <f t="shared" si="63"/>
        <v>2.2049500000000002</v>
      </c>
      <c r="M71" s="58">
        <f t="shared" si="64"/>
        <v>2.2046999999999999</v>
      </c>
      <c r="N71" s="58">
        <f t="shared" si="65"/>
        <v>0</v>
      </c>
      <c r="O71" s="58">
        <f t="shared" si="66"/>
        <v>2.5000000000030553E-4</v>
      </c>
      <c r="P71" s="58"/>
      <c r="Q71" s="84">
        <v>160.25</v>
      </c>
      <c r="R71" s="84">
        <v>160.25</v>
      </c>
      <c r="S71" s="84">
        <v>160.25</v>
      </c>
      <c r="T71" s="84">
        <v>160.25</v>
      </c>
      <c r="U71" s="84">
        <v>160.25</v>
      </c>
      <c r="V71" s="84">
        <v>160.25</v>
      </c>
      <c r="W71" s="84">
        <v>160.25</v>
      </c>
      <c r="X71" s="84">
        <v>160.25</v>
      </c>
      <c r="Y71" s="58">
        <f>AVERAGE(C67,C71)-AVERAGE(C$66,C$72)</f>
        <v>0</v>
      </c>
      <c r="Z71" s="58">
        <f t="shared" ref="Z71:AF71" si="72">AVERAGE(D67,D71)-AVERAGE(D$66,D$72)</f>
        <v>-1.0000000000021103E-4</v>
      </c>
      <c r="AA71" s="58">
        <f t="shared" si="72"/>
        <v>-1.2500000000015277E-4</v>
      </c>
      <c r="AB71" s="58">
        <f t="shared" si="72"/>
        <v>-2.4999999999941735E-5</v>
      </c>
      <c r="AC71" s="58">
        <f t="shared" si="72"/>
        <v>0</v>
      </c>
      <c r="AD71" s="58">
        <f t="shared" si="72"/>
        <v>-1.0000000000021103E-4</v>
      </c>
      <c r="AE71" s="58">
        <f t="shared" si="72"/>
        <v>-7.4999999999825206E-5</v>
      </c>
      <c r="AF71" s="58">
        <f t="shared" si="72"/>
        <v>0</v>
      </c>
    </row>
    <row r="72" spans="1:33" s="9" customFormat="1">
      <c r="A72" s="84"/>
      <c r="B72" s="84">
        <v>175</v>
      </c>
      <c r="C72" s="58">
        <v>2.2048000000000001</v>
      </c>
      <c r="D72" s="58">
        <v>2.2048999999999999</v>
      </c>
      <c r="E72" s="58">
        <v>2.2050000000000001</v>
      </c>
      <c r="F72" s="58">
        <v>2.2048999999999999</v>
      </c>
      <c r="G72" s="58">
        <v>2.2048999999999999</v>
      </c>
      <c r="H72" s="58">
        <v>2.2049500000000002</v>
      </c>
      <c r="I72" s="58">
        <v>2.2049500000000002</v>
      </c>
      <c r="J72" s="58">
        <v>2.2048000000000001</v>
      </c>
      <c r="K72" s="58">
        <f t="shared" si="62"/>
        <v>2.2048000000000001</v>
      </c>
      <c r="L72" s="58">
        <f t="shared" si="63"/>
        <v>2.2050000000000001</v>
      </c>
      <c r="M72" s="58">
        <f t="shared" si="64"/>
        <v>2.2048999999999999</v>
      </c>
      <c r="N72" s="58">
        <f t="shared" si="65"/>
        <v>-9.9999999999766942E-5</v>
      </c>
      <c r="O72" s="58">
        <f t="shared" si="66"/>
        <v>1.0000000000021103E-4</v>
      </c>
      <c r="P72" s="58"/>
      <c r="Q72" s="84">
        <v>175</v>
      </c>
      <c r="R72" s="84">
        <v>175</v>
      </c>
      <c r="S72" s="84">
        <v>175</v>
      </c>
      <c r="T72" s="84">
        <v>175</v>
      </c>
      <c r="U72" s="84">
        <v>175</v>
      </c>
      <c r="V72" s="84">
        <v>175</v>
      </c>
      <c r="W72" s="84">
        <v>175</v>
      </c>
      <c r="X72" s="84">
        <v>175</v>
      </c>
      <c r="Y72" s="58">
        <f>AVERAGE(C66,C72)-AVERAGE(C$66,C$72)</f>
        <v>0</v>
      </c>
      <c r="Z72" s="58">
        <f t="shared" ref="Z72:AF72" si="73">AVERAGE(D66,D72)-AVERAGE(D$66,D$72)</f>
        <v>0</v>
      </c>
      <c r="AA72" s="58">
        <f t="shared" si="73"/>
        <v>0</v>
      </c>
      <c r="AB72" s="58">
        <f t="shared" si="73"/>
        <v>0</v>
      </c>
      <c r="AC72" s="58">
        <f t="shared" si="73"/>
        <v>0</v>
      </c>
      <c r="AD72" s="58">
        <f t="shared" si="73"/>
        <v>0</v>
      </c>
      <c r="AE72" s="58">
        <f t="shared" si="73"/>
        <v>0</v>
      </c>
      <c r="AF72" s="58">
        <f t="shared" si="73"/>
        <v>0</v>
      </c>
    </row>
    <row r="73" spans="1:33" s="9" customFormat="1">
      <c r="P73" s="9" t="s">
        <v>367</v>
      </c>
      <c r="Q73" s="84">
        <v>5</v>
      </c>
      <c r="R73" s="84">
        <v>5</v>
      </c>
      <c r="S73" s="84">
        <v>5</v>
      </c>
      <c r="T73" s="84">
        <v>5</v>
      </c>
      <c r="U73" s="84">
        <v>5</v>
      </c>
      <c r="V73" s="84">
        <v>5</v>
      </c>
      <c r="W73" s="84">
        <v>5</v>
      </c>
      <c r="X73" s="84">
        <v>5</v>
      </c>
      <c r="Y73" s="58">
        <f>Y66-$AG34</f>
        <v>0</v>
      </c>
      <c r="Z73" s="58">
        <f t="shared" ref="Z73:AF73" si="74">Z66-$AG34</f>
        <v>0</v>
      </c>
      <c r="AA73" s="58">
        <f t="shared" si="74"/>
        <v>0</v>
      </c>
      <c r="AB73" s="58">
        <f t="shared" si="74"/>
        <v>0</v>
      </c>
      <c r="AC73" s="58">
        <f t="shared" si="74"/>
        <v>0</v>
      </c>
      <c r="AD73" s="58">
        <f t="shared" si="74"/>
        <v>0</v>
      </c>
      <c r="AE73" s="58">
        <f t="shared" si="74"/>
        <v>0</v>
      </c>
      <c r="AF73" s="58">
        <f t="shared" si="74"/>
        <v>0</v>
      </c>
      <c r="AG73" s="9" t="s">
        <v>367</v>
      </c>
    </row>
    <row r="74" spans="1:33" s="9" customFormat="1">
      <c r="P74" s="9" t="s">
        <v>367</v>
      </c>
      <c r="Q74" s="84">
        <v>19.75</v>
      </c>
      <c r="R74" s="84">
        <v>19.75</v>
      </c>
      <c r="S74" s="84">
        <v>19.75</v>
      </c>
      <c r="T74" s="84">
        <v>19.75</v>
      </c>
      <c r="U74" s="84">
        <v>19.75</v>
      </c>
      <c r="V74" s="84">
        <v>19.75</v>
      </c>
      <c r="W74" s="84">
        <v>19.75</v>
      </c>
      <c r="X74" s="84">
        <v>19.75</v>
      </c>
      <c r="Y74" s="58">
        <f t="shared" ref="Y74:AF79" si="75">Y67-$AG35</f>
        <v>4.0625000000127365E-5</v>
      </c>
      <c r="Z74" s="58">
        <f t="shared" si="75"/>
        <v>-5.9375000000083666E-5</v>
      </c>
      <c r="AA74" s="58">
        <f t="shared" si="75"/>
        <v>-8.4375000000025402E-5</v>
      </c>
      <c r="AB74" s="58">
        <f t="shared" si="75"/>
        <v>1.5625000000185629E-5</v>
      </c>
      <c r="AC74" s="58">
        <f t="shared" si="75"/>
        <v>4.0625000000127365E-5</v>
      </c>
      <c r="AD74" s="58">
        <f t="shared" si="75"/>
        <v>-5.9375000000083666E-5</v>
      </c>
      <c r="AE74" s="58">
        <f t="shared" si="75"/>
        <v>-3.4374999999697842E-5</v>
      </c>
      <c r="AF74" s="58">
        <f t="shared" si="75"/>
        <v>4.0625000000127365E-5</v>
      </c>
      <c r="AG74" s="9" t="s">
        <v>367</v>
      </c>
    </row>
    <row r="75" spans="1:33" s="9" customFormat="1">
      <c r="P75" s="9" t="s">
        <v>367</v>
      </c>
      <c r="Q75" s="84">
        <v>45</v>
      </c>
      <c r="R75" s="84">
        <v>45</v>
      </c>
      <c r="S75" s="84">
        <v>45</v>
      </c>
      <c r="T75" s="84">
        <v>45</v>
      </c>
      <c r="U75" s="84">
        <v>45</v>
      </c>
      <c r="V75" s="84">
        <v>45</v>
      </c>
      <c r="W75" s="84">
        <v>45</v>
      </c>
      <c r="X75" s="84">
        <v>45</v>
      </c>
      <c r="Y75" s="58">
        <f t="shared" si="75"/>
        <v>-2.1875000000060041E-5</v>
      </c>
      <c r="Z75" s="58">
        <f t="shared" si="75"/>
        <v>-4.6875000000001776E-5</v>
      </c>
      <c r="AA75" s="58">
        <f t="shared" si="75"/>
        <v>-4.6875000000001776E-5</v>
      </c>
      <c r="AB75" s="58">
        <f t="shared" si="75"/>
        <v>-7.1874999999943512E-5</v>
      </c>
      <c r="AC75" s="58">
        <f t="shared" si="75"/>
        <v>3.1249999998816946E-6</v>
      </c>
      <c r="AD75" s="58">
        <f t="shared" si="75"/>
        <v>-1.4687500000021281E-4</v>
      </c>
      <c r="AE75" s="58">
        <f t="shared" si="75"/>
        <v>-7.1875000000387601E-5</v>
      </c>
      <c r="AF75" s="58">
        <f t="shared" si="75"/>
        <v>-7.1874999999943512E-5</v>
      </c>
      <c r="AG75" s="9" t="s">
        <v>367</v>
      </c>
    </row>
    <row r="76" spans="1:33" s="9" customFormat="1">
      <c r="P76" s="9" t="s">
        <v>367</v>
      </c>
      <c r="Q76" s="84">
        <v>90</v>
      </c>
      <c r="R76" s="84">
        <v>90</v>
      </c>
      <c r="S76" s="84">
        <v>90</v>
      </c>
      <c r="T76" s="84">
        <v>90</v>
      </c>
      <c r="U76" s="84">
        <v>90</v>
      </c>
      <c r="V76" s="84">
        <v>90</v>
      </c>
      <c r="W76" s="84">
        <v>90</v>
      </c>
      <c r="X76" s="84">
        <v>90</v>
      </c>
      <c r="Y76" s="58">
        <f t="shared" si="75"/>
        <v>-2.4999999999886224E-5</v>
      </c>
      <c r="Z76" s="58">
        <f t="shared" si="75"/>
        <v>-7.4999999999769695E-5</v>
      </c>
      <c r="AA76" s="58">
        <f t="shared" si="75"/>
        <v>5.5511151231257827E-17</v>
      </c>
      <c r="AB76" s="58">
        <f t="shared" si="75"/>
        <v>-7.4999999999769695E-5</v>
      </c>
      <c r="AC76" s="58">
        <f t="shared" si="75"/>
        <v>4.9999999999938982E-5</v>
      </c>
      <c r="AD76" s="58">
        <f t="shared" si="75"/>
        <v>-1.5000000000003899E-4</v>
      </c>
      <c r="AE76" s="58">
        <f t="shared" si="75"/>
        <v>-1.5000000000003899E-4</v>
      </c>
      <c r="AF76" s="58">
        <f t="shared" si="75"/>
        <v>5.5511151231257827E-17</v>
      </c>
      <c r="AG76" s="9" t="s">
        <v>367</v>
      </c>
    </row>
    <row r="77" spans="1:33" s="9" customFormat="1">
      <c r="P77" s="9" t="s">
        <v>367</v>
      </c>
      <c r="Q77" s="84">
        <v>135</v>
      </c>
      <c r="R77" s="84">
        <v>135</v>
      </c>
      <c r="S77" s="84">
        <v>135</v>
      </c>
      <c r="T77" s="84">
        <v>135</v>
      </c>
      <c r="U77" s="84">
        <v>135</v>
      </c>
      <c r="V77" s="84">
        <v>135</v>
      </c>
      <c r="W77" s="84">
        <v>135</v>
      </c>
      <c r="X77" s="84">
        <v>135</v>
      </c>
      <c r="Y77" s="58">
        <f t="shared" si="75"/>
        <v>-2.1875000000060041E-5</v>
      </c>
      <c r="Z77" s="58">
        <f t="shared" si="75"/>
        <v>-4.6875000000001776E-5</v>
      </c>
      <c r="AA77" s="58">
        <f t="shared" si="75"/>
        <v>-4.6875000000001776E-5</v>
      </c>
      <c r="AB77" s="58">
        <f t="shared" si="75"/>
        <v>-7.1874999999943512E-5</v>
      </c>
      <c r="AC77" s="58">
        <f t="shared" si="75"/>
        <v>3.1249999998816946E-6</v>
      </c>
      <c r="AD77" s="58">
        <f t="shared" si="75"/>
        <v>-1.4687500000021281E-4</v>
      </c>
      <c r="AE77" s="58">
        <f t="shared" si="75"/>
        <v>-7.1875000000387601E-5</v>
      </c>
      <c r="AF77" s="58">
        <f t="shared" si="75"/>
        <v>-7.1874999999943512E-5</v>
      </c>
      <c r="AG77" s="9" t="s">
        <v>367</v>
      </c>
    </row>
    <row r="78" spans="1:33" s="9" customFormat="1">
      <c r="P78" s="9" t="s">
        <v>367</v>
      </c>
      <c r="Q78" s="84">
        <v>160.25</v>
      </c>
      <c r="R78" s="84">
        <v>160.25</v>
      </c>
      <c r="S78" s="84">
        <v>160.25</v>
      </c>
      <c r="T78" s="84">
        <v>160.25</v>
      </c>
      <c r="U78" s="84">
        <v>160.25</v>
      </c>
      <c r="V78" s="84">
        <v>160.25</v>
      </c>
      <c r="W78" s="84">
        <v>160.25</v>
      </c>
      <c r="X78" s="84">
        <v>160.25</v>
      </c>
      <c r="Y78" s="58">
        <f t="shared" si="75"/>
        <v>4.0625000000127365E-5</v>
      </c>
      <c r="Z78" s="58">
        <f t="shared" si="75"/>
        <v>-5.9375000000083666E-5</v>
      </c>
      <c r="AA78" s="58">
        <f t="shared" si="75"/>
        <v>-8.4375000000025402E-5</v>
      </c>
      <c r="AB78" s="58">
        <f t="shared" si="75"/>
        <v>1.5625000000185629E-5</v>
      </c>
      <c r="AC78" s="58">
        <f t="shared" si="75"/>
        <v>4.0625000000127365E-5</v>
      </c>
      <c r="AD78" s="58">
        <f t="shared" si="75"/>
        <v>-5.9375000000083666E-5</v>
      </c>
      <c r="AE78" s="58">
        <f t="shared" si="75"/>
        <v>-3.4374999999697842E-5</v>
      </c>
      <c r="AF78" s="58">
        <f t="shared" si="75"/>
        <v>4.0625000000127365E-5</v>
      </c>
      <c r="AG78" s="9" t="s">
        <v>367</v>
      </c>
    </row>
    <row r="79" spans="1:33" s="9" customFormat="1">
      <c r="A79" s="58"/>
      <c r="C79" s="83"/>
      <c r="D79" s="83"/>
      <c r="E79" s="83"/>
      <c r="F79" s="83"/>
      <c r="G79" s="83"/>
      <c r="H79" s="83"/>
      <c r="I79" s="83"/>
      <c r="J79" s="83"/>
      <c r="K79" s="58"/>
      <c r="L79" s="58"/>
      <c r="M79" s="58"/>
      <c r="N79" s="58"/>
      <c r="O79" s="58"/>
      <c r="P79" s="9" t="s">
        <v>367</v>
      </c>
      <c r="Q79" s="84">
        <v>175</v>
      </c>
      <c r="R79" s="84">
        <v>175</v>
      </c>
      <c r="S79" s="84">
        <v>175</v>
      </c>
      <c r="T79" s="84">
        <v>175</v>
      </c>
      <c r="U79" s="84">
        <v>175</v>
      </c>
      <c r="V79" s="84">
        <v>175</v>
      </c>
      <c r="W79" s="84">
        <v>175</v>
      </c>
      <c r="X79" s="84">
        <v>175</v>
      </c>
      <c r="Y79" s="58">
        <f t="shared" si="75"/>
        <v>0</v>
      </c>
      <c r="Z79" s="58">
        <f t="shared" si="75"/>
        <v>0</v>
      </c>
      <c r="AA79" s="58">
        <f t="shared" si="75"/>
        <v>0</v>
      </c>
      <c r="AB79" s="58">
        <f t="shared" si="75"/>
        <v>0</v>
      </c>
      <c r="AC79" s="58">
        <f t="shared" si="75"/>
        <v>0</v>
      </c>
      <c r="AD79" s="58">
        <f t="shared" si="75"/>
        <v>0</v>
      </c>
      <c r="AE79" s="58">
        <f t="shared" si="75"/>
        <v>0</v>
      </c>
      <c r="AF79" s="58">
        <f t="shared" si="75"/>
        <v>0</v>
      </c>
      <c r="AG79" s="9" t="s">
        <v>367</v>
      </c>
    </row>
    <row r="80" spans="1:33" s="9" customFormat="1">
      <c r="C80" s="83"/>
      <c r="D80" s="83"/>
      <c r="E80" s="83"/>
      <c r="F80" s="83"/>
      <c r="G80" s="83"/>
      <c r="H80" s="83"/>
      <c r="I80" s="83"/>
      <c r="J80" s="83"/>
      <c r="K80" s="58"/>
      <c r="L80" s="58"/>
      <c r="M80" s="58"/>
      <c r="N80" s="58"/>
      <c r="O80" s="58"/>
      <c r="Q80" s="84"/>
      <c r="R80" s="84"/>
      <c r="S80" s="84"/>
      <c r="T80" s="84"/>
      <c r="U80" s="84"/>
      <c r="V80" s="84"/>
      <c r="W80" s="84"/>
      <c r="X80" s="84"/>
      <c r="Y80" s="58"/>
      <c r="Z80" s="58"/>
      <c r="AA80" s="58"/>
      <c r="AB80" s="58"/>
      <c r="AC80" s="58"/>
      <c r="AD80" s="58"/>
      <c r="AE80" s="58"/>
      <c r="AF80" s="58"/>
    </row>
    <row r="81" spans="1:33" s="9" customFormat="1">
      <c r="A81" s="9" t="s">
        <v>401</v>
      </c>
      <c r="C81" s="83"/>
      <c r="D81" s="83"/>
      <c r="E81" s="83"/>
      <c r="F81" s="83"/>
      <c r="G81" s="83"/>
      <c r="H81" s="83"/>
      <c r="I81" s="83"/>
      <c r="J81" s="83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33" s="9" customFormat="1">
      <c r="A82" s="58"/>
      <c r="B82" s="9" t="s">
        <v>241</v>
      </c>
      <c r="C82" s="58">
        <v>71.8</v>
      </c>
      <c r="D82" s="58">
        <v>71.5</v>
      </c>
      <c r="E82" s="58">
        <v>70.599999999999994</v>
      </c>
      <c r="F82" s="58">
        <v>72.5</v>
      </c>
      <c r="G82" s="58">
        <v>71.2</v>
      </c>
      <c r="H82" s="58">
        <v>71</v>
      </c>
      <c r="I82" s="58">
        <v>70.8</v>
      </c>
      <c r="J82" s="58">
        <v>72.3</v>
      </c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Y82" s="101" t="s">
        <v>270</v>
      </c>
      <c r="Z82" s="101"/>
      <c r="AA82" s="101"/>
      <c r="AB82" s="101"/>
      <c r="AC82" s="101"/>
      <c r="AD82" s="101"/>
      <c r="AE82" s="101"/>
      <c r="AF82" s="101"/>
    </row>
    <row r="83" spans="1:33" s="9" customFormat="1">
      <c r="A83" s="58"/>
      <c r="B83" s="9" t="s">
        <v>364</v>
      </c>
      <c r="C83" s="83" t="s">
        <v>175</v>
      </c>
      <c r="D83" s="83" t="s">
        <v>176</v>
      </c>
      <c r="E83" s="83" t="s">
        <v>177</v>
      </c>
      <c r="F83" s="83" t="s">
        <v>178</v>
      </c>
      <c r="G83" s="83" t="s">
        <v>179</v>
      </c>
      <c r="H83" s="83" t="s">
        <v>180</v>
      </c>
      <c r="I83" s="83" t="s">
        <v>181</v>
      </c>
      <c r="J83" s="83" t="s">
        <v>182</v>
      </c>
      <c r="K83" s="53" t="s">
        <v>195</v>
      </c>
      <c r="L83" s="53" t="s">
        <v>183</v>
      </c>
      <c r="M83" s="53" t="s">
        <v>184</v>
      </c>
      <c r="N83" s="53" t="s">
        <v>185</v>
      </c>
      <c r="O83" s="53" t="s">
        <v>186</v>
      </c>
      <c r="P83" s="53"/>
      <c r="Q83" s="53"/>
      <c r="R83" s="53"/>
      <c r="S83" s="53"/>
      <c r="T83" s="53"/>
      <c r="U83" s="53"/>
      <c r="Y83" s="88" t="s">
        <v>175</v>
      </c>
      <c r="Z83" s="88" t="s">
        <v>176</v>
      </c>
      <c r="AA83" s="88" t="s">
        <v>177</v>
      </c>
      <c r="AB83" s="88" t="s">
        <v>178</v>
      </c>
      <c r="AC83" s="88" t="s">
        <v>179</v>
      </c>
      <c r="AD83" s="88" t="s">
        <v>180</v>
      </c>
      <c r="AE83" s="88" t="s">
        <v>181</v>
      </c>
      <c r="AF83" s="88" t="s">
        <v>182</v>
      </c>
    </row>
    <row r="84" spans="1:33" s="9" customFormat="1">
      <c r="A84" s="84"/>
      <c r="B84" s="84">
        <v>5</v>
      </c>
      <c r="C84" s="58">
        <v>2.2051500000000002</v>
      </c>
      <c r="D84" s="58">
        <v>2.2050000000000001</v>
      </c>
      <c r="E84" s="58">
        <v>2.2048999999999999</v>
      </c>
      <c r="F84" s="58">
        <v>2.2050000000000001</v>
      </c>
      <c r="G84" s="58">
        <v>2.2050000000000001</v>
      </c>
      <c r="H84" s="58">
        <v>2.2052</v>
      </c>
      <c r="I84" s="58">
        <v>2.2051500000000002</v>
      </c>
      <c r="J84" s="58">
        <v>2.2050000000000001</v>
      </c>
      <c r="K84" s="58">
        <f t="shared" ref="K84:K90" si="76">MIN(C84:J84)</f>
        <v>2.2048999999999999</v>
      </c>
      <c r="L84" s="58">
        <f t="shared" ref="L84:L90" si="77">MAX(C84:J84)</f>
        <v>2.2052</v>
      </c>
      <c r="M84" s="58">
        <f t="shared" ref="M84:M90" si="78">MODE(C84:J84)</f>
        <v>2.2050000000000001</v>
      </c>
      <c r="N84" s="58">
        <f t="shared" ref="N84:N90" si="79">K84-M84</f>
        <v>-1.0000000000021103E-4</v>
      </c>
      <c r="O84" s="58">
        <f t="shared" ref="O84:O90" si="80">L84-M84</f>
        <v>1.9999999999997797E-4</v>
      </c>
      <c r="P84" s="58"/>
      <c r="Q84" s="84">
        <v>5</v>
      </c>
      <c r="R84" s="84">
        <v>5</v>
      </c>
      <c r="S84" s="84">
        <v>5</v>
      </c>
      <c r="T84" s="84">
        <v>5</v>
      </c>
      <c r="U84" s="84">
        <v>5</v>
      </c>
      <c r="V84" s="84">
        <v>5</v>
      </c>
      <c r="W84" s="84">
        <v>5</v>
      </c>
      <c r="X84" s="84">
        <v>5</v>
      </c>
      <c r="Y84" s="58">
        <f>AVERAGE(C84,C90)-AVERAGE(C$84,C$90)</f>
        <v>0</v>
      </c>
      <c r="Z84" s="58">
        <f t="shared" ref="Z84:AF84" si="81">AVERAGE(D84,D90)-AVERAGE(D$84,D$90)</f>
        <v>0</v>
      </c>
      <c r="AA84" s="58">
        <f t="shared" si="81"/>
        <v>0</v>
      </c>
      <c r="AB84" s="58">
        <f t="shared" si="81"/>
        <v>0</v>
      </c>
      <c r="AC84" s="58">
        <f t="shared" si="81"/>
        <v>0</v>
      </c>
      <c r="AD84" s="58">
        <f t="shared" si="81"/>
        <v>0</v>
      </c>
      <c r="AE84" s="58">
        <f t="shared" si="81"/>
        <v>0</v>
      </c>
      <c r="AF84" s="58">
        <f t="shared" si="81"/>
        <v>0</v>
      </c>
    </row>
    <row r="85" spans="1:33" s="9" customFormat="1">
      <c r="A85" s="84"/>
      <c r="B85" s="84">
        <v>19.75</v>
      </c>
      <c r="C85" s="58">
        <v>2.2048999999999999</v>
      </c>
      <c r="D85" s="58">
        <v>2.2048999999999999</v>
      </c>
      <c r="E85" s="58">
        <v>2.2048999999999999</v>
      </c>
      <c r="F85" s="58">
        <v>2.2048000000000001</v>
      </c>
      <c r="G85" s="58">
        <v>2.2048999999999999</v>
      </c>
      <c r="H85" s="58">
        <v>2.2050000000000001</v>
      </c>
      <c r="I85" s="58">
        <v>2.2048999999999999</v>
      </c>
      <c r="J85" s="58">
        <v>2.2046999999999999</v>
      </c>
      <c r="K85" s="58">
        <f t="shared" si="76"/>
        <v>2.2046999999999999</v>
      </c>
      <c r="L85" s="58">
        <f t="shared" si="77"/>
        <v>2.2050000000000001</v>
      </c>
      <c r="M85" s="58">
        <f t="shared" si="78"/>
        <v>2.2048999999999999</v>
      </c>
      <c r="N85" s="58">
        <f t="shared" si="79"/>
        <v>-1.9999999999997797E-4</v>
      </c>
      <c r="O85" s="58">
        <f t="shared" si="80"/>
        <v>1.0000000000021103E-4</v>
      </c>
      <c r="P85" s="58"/>
      <c r="Q85" s="84">
        <v>19.75</v>
      </c>
      <c r="R85" s="84">
        <v>19.75</v>
      </c>
      <c r="S85" s="84">
        <v>19.75</v>
      </c>
      <c r="T85" s="84">
        <v>19.75</v>
      </c>
      <c r="U85" s="84">
        <v>19.75</v>
      </c>
      <c r="V85" s="84">
        <v>19.75</v>
      </c>
      <c r="W85" s="84">
        <v>19.75</v>
      </c>
      <c r="X85" s="84">
        <v>19.75</v>
      </c>
      <c r="Y85" s="58">
        <f>AVERAGE(C85,C89)-AVERAGE(C$84,C$90)</f>
        <v>-3.2500000000013074E-4</v>
      </c>
      <c r="Z85" s="58">
        <f t="shared" ref="Z85:AF85" si="82">AVERAGE(D85,D89)-AVERAGE(D$84,D$90)</f>
        <v>-1.7500000000003624E-4</v>
      </c>
      <c r="AA85" s="58">
        <f t="shared" si="82"/>
        <v>-1.0000000000021103E-4</v>
      </c>
      <c r="AB85" s="58">
        <f t="shared" si="82"/>
        <v>-3.2499999999968665E-4</v>
      </c>
      <c r="AC85" s="58">
        <f t="shared" si="82"/>
        <v>-1.2500000000015277E-4</v>
      </c>
      <c r="AD85" s="58">
        <f t="shared" si="82"/>
        <v>-1.9999999999953388E-4</v>
      </c>
      <c r="AE85" s="58">
        <f t="shared" si="82"/>
        <v>-3.00000000000189E-4</v>
      </c>
      <c r="AF85" s="58">
        <f t="shared" si="82"/>
        <v>-3.00000000000189E-4</v>
      </c>
    </row>
    <row r="86" spans="1:33" s="9" customFormat="1">
      <c r="A86" s="84"/>
      <c r="B86" s="84">
        <v>45</v>
      </c>
      <c r="C86" s="58">
        <v>2.2044000000000001</v>
      </c>
      <c r="D86" s="58">
        <v>2.2046000000000001</v>
      </c>
      <c r="E86" s="58">
        <v>2.2044999999999999</v>
      </c>
      <c r="F86" s="58">
        <v>2.2044000000000001</v>
      </c>
      <c r="G86" s="58">
        <v>2.2044000000000001</v>
      </c>
      <c r="H86" s="58">
        <v>2.2046000000000001</v>
      </c>
      <c r="I86" s="58">
        <v>2.2046000000000001</v>
      </c>
      <c r="J86" s="58">
        <v>2.2044000000000001</v>
      </c>
      <c r="K86" s="58">
        <f t="shared" si="76"/>
        <v>2.2044000000000001</v>
      </c>
      <c r="L86" s="58">
        <f t="shared" si="77"/>
        <v>2.2046000000000001</v>
      </c>
      <c r="M86" s="58">
        <f t="shared" si="78"/>
        <v>2.2044000000000001</v>
      </c>
      <c r="N86" s="58">
        <f t="shared" si="79"/>
        <v>0</v>
      </c>
      <c r="O86" s="58">
        <f t="shared" si="80"/>
        <v>1.9999999999997797E-4</v>
      </c>
      <c r="P86" s="58"/>
      <c r="Q86" s="84">
        <v>45</v>
      </c>
      <c r="R86" s="84">
        <v>45</v>
      </c>
      <c r="S86" s="84">
        <v>45</v>
      </c>
      <c r="T86" s="84">
        <v>45</v>
      </c>
      <c r="U86" s="84">
        <v>45</v>
      </c>
      <c r="V86" s="84">
        <v>45</v>
      </c>
      <c r="W86" s="84">
        <v>45</v>
      </c>
      <c r="X86" s="84">
        <v>45</v>
      </c>
      <c r="Y86" s="58">
        <f>AVERAGE(C86,C88)-AVERAGE(C$84,C$90)</f>
        <v>-7.5000000000002842E-4</v>
      </c>
      <c r="Z86" s="58">
        <f t="shared" ref="Z86:AF86" si="83">AVERAGE(D86,D88)-AVERAGE(D$84,D$90)</f>
        <v>-5.9999999999993392E-4</v>
      </c>
      <c r="AA86" s="58">
        <f t="shared" si="83"/>
        <v>-3.5000000000007248E-4</v>
      </c>
      <c r="AB86" s="58">
        <f t="shared" si="83"/>
        <v>-7.5000000000002842E-4</v>
      </c>
      <c r="AC86" s="58">
        <f t="shared" si="83"/>
        <v>-5.9999999999993392E-4</v>
      </c>
      <c r="AD86" s="58">
        <f t="shared" si="83"/>
        <v>-4.9999999999972289E-4</v>
      </c>
      <c r="AE86" s="58">
        <f t="shared" si="83"/>
        <v>-5.9999999999993392E-4</v>
      </c>
      <c r="AF86" s="58">
        <f t="shared" si="83"/>
        <v>-5.7499999999999218E-4</v>
      </c>
    </row>
    <row r="87" spans="1:33" s="9" customFormat="1">
      <c r="A87" s="84"/>
      <c r="B87" s="84">
        <v>90</v>
      </c>
      <c r="C87" s="58">
        <v>2.2042000000000002</v>
      </c>
      <c r="D87" s="58">
        <v>2.2042000000000002</v>
      </c>
      <c r="E87" s="58">
        <v>2.2046000000000001</v>
      </c>
      <c r="F87" s="58">
        <v>2.2042000000000002</v>
      </c>
      <c r="G87" s="58">
        <v>2.2042000000000002</v>
      </c>
      <c r="H87" s="58">
        <v>2.2042999999999999</v>
      </c>
      <c r="I87" s="58">
        <v>2.2044000000000001</v>
      </c>
      <c r="J87" s="58">
        <v>2.2042000000000002</v>
      </c>
      <c r="K87" s="58">
        <f t="shared" si="76"/>
        <v>2.2042000000000002</v>
      </c>
      <c r="L87" s="58">
        <f t="shared" si="77"/>
        <v>2.2046000000000001</v>
      </c>
      <c r="M87" s="58">
        <f t="shared" si="78"/>
        <v>2.2042000000000002</v>
      </c>
      <c r="N87" s="58">
        <f t="shared" si="79"/>
        <v>0</v>
      </c>
      <c r="O87" s="58">
        <f t="shared" si="80"/>
        <v>3.9999999999995595E-4</v>
      </c>
      <c r="P87" s="58"/>
      <c r="Q87" s="84">
        <v>90</v>
      </c>
      <c r="R87" s="84">
        <v>90</v>
      </c>
      <c r="S87" s="84">
        <v>90</v>
      </c>
      <c r="T87" s="84">
        <v>90</v>
      </c>
      <c r="U87" s="84">
        <v>90</v>
      </c>
      <c r="V87" s="84">
        <v>90</v>
      </c>
      <c r="W87" s="84">
        <v>90</v>
      </c>
      <c r="X87" s="84">
        <v>90</v>
      </c>
      <c r="Y87" s="58">
        <f>C87-AVERAGE(C$84,C$90)</f>
        <v>-8.749999999997371E-4</v>
      </c>
      <c r="Z87" s="58">
        <f t="shared" ref="Z87:AF87" si="84">D87-AVERAGE(D$84,D$90)</f>
        <v>-7.9999999999991189E-4</v>
      </c>
      <c r="AA87" s="58">
        <f t="shared" si="84"/>
        <v>-3.5000000000007248E-4</v>
      </c>
      <c r="AB87" s="58">
        <f t="shared" si="84"/>
        <v>-8.9999999999967883E-4</v>
      </c>
      <c r="AC87" s="58">
        <f t="shared" si="84"/>
        <v>-7.9999999999991189E-4</v>
      </c>
      <c r="AD87" s="58">
        <f t="shared" si="84"/>
        <v>-7.9999999999991189E-4</v>
      </c>
      <c r="AE87" s="58">
        <f t="shared" si="84"/>
        <v>-7.5000000000002842E-4</v>
      </c>
      <c r="AF87" s="58">
        <f t="shared" si="84"/>
        <v>-7.7499999999997016E-4</v>
      </c>
    </row>
    <row r="88" spans="1:33" s="9" customFormat="1">
      <c r="A88" s="84"/>
      <c r="B88" s="84">
        <v>135</v>
      </c>
      <c r="C88" s="58">
        <v>2.20425</v>
      </c>
      <c r="D88" s="58">
        <v>2.2042000000000002</v>
      </c>
      <c r="E88" s="58">
        <v>2.2046999999999999</v>
      </c>
      <c r="F88" s="58">
        <v>2.2042999999999999</v>
      </c>
      <c r="G88" s="58">
        <v>2.2044000000000001</v>
      </c>
      <c r="H88" s="58">
        <v>2.2046000000000001</v>
      </c>
      <c r="I88" s="58">
        <v>2.2044999999999999</v>
      </c>
      <c r="J88" s="58">
        <v>2.2044000000000001</v>
      </c>
      <c r="K88" s="58">
        <f t="shared" si="76"/>
        <v>2.2042000000000002</v>
      </c>
      <c r="L88" s="58">
        <f t="shared" si="77"/>
        <v>2.2046999999999999</v>
      </c>
      <c r="M88" s="58">
        <f t="shared" si="78"/>
        <v>2.2044000000000001</v>
      </c>
      <c r="N88" s="58">
        <f t="shared" si="79"/>
        <v>-1.9999999999997797E-4</v>
      </c>
      <c r="O88" s="58">
        <f t="shared" si="80"/>
        <v>2.9999999999974492E-4</v>
      </c>
      <c r="P88" s="58"/>
      <c r="Q88" s="84">
        <v>135</v>
      </c>
      <c r="R88" s="84">
        <v>135</v>
      </c>
      <c r="S88" s="84">
        <v>135</v>
      </c>
      <c r="T88" s="84">
        <v>135</v>
      </c>
      <c r="U88" s="84">
        <v>135</v>
      </c>
      <c r="V88" s="84">
        <v>135</v>
      </c>
      <c r="W88" s="84">
        <v>135</v>
      </c>
      <c r="X88" s="84">
        <v>135</v>
      </c>
      <c r="Y88" s="58">
        <f>AVERAGE(C86,C88)-AVERAGE(C$84,C$90)</f>
        <v>-7.5000000000002842E-4</v>
      </c>
      <c r="Z88" s="58">
        <f t="shared" ref="Z88:AF88" si="85">AVERAGE(D86,D88)-AVERAGE(D$84,D$90)</f>
        <v>-5.9999999999993392E-4</v>
      </c>
      <c r="AA88" s="58">
        <f t="shared" si="85"/>
        <v>-3.5000000000007248E-4</v>
      </c>
      <c r="AB88" s="58">
        <f t="shared" si="85"/>
        <v>-7.5000000000002842E-4</v>
      </c>
      <c r="AC88" s="58">
        <f t="shared" si="85"/>
        <v>-5.9999999999993392E-4</v>
      </c>
      <c r="AD88" s="58">
        <f t="shared" si="85"/>
        <v>-4.9999999999972289E-4</v>
      </c>
      <c r="AE88" s="58">
        <f t="shared" si="85"/>
        <v>-5.9999999999993392E-4</v>
      </c>
      <c r="AF88" s="58">
        <f t="shared" si="85"/>
        <v>-5.7499999999999218E-4</v>
      </c>
    </row>
    <row r="89" spans="1:33" s="9" customFormat="1">
      <c r="A89" s="84"/>
      <c r="B89" s="84">
        <v>160.25</v>
      </c>
      <c r="C89" s="58">
        <v>2.2046000000000001</v>
      </c>
      <c r="D89" s="58">
        <v>2.2047500000000002</v>
      </c>
      <c r="E89" s="58">
        <v>2.2048000000000001</v>
      </c>
      <c r="F89" s="58">
        <v>2.2047500000000002</v>
      </c>
      <c r="G89" s="58">
        <v>2.20485</v>
      </c>
      <c r="H89" s="58">
        <v>2.2048000000000001</v>
      </c>
      <c r="I89" s="58">
        <v>2.2048000000000001</v>
      </c>
      <c r="J89" s="58">
        <v>2.20465</v>
      </c>
      <c r="K89" s="58">
        <f t="shared" si="76"/>
        <v>2.2046000000000001</v>
      </c>
      <c r="L89" s="58">
        <f t="shared" si="77"/>
        <v>2.20485</v>
      </c>
      <c r="M89" s="58">
        <f t="shared" si="78"/>
        <v>2.2048000000000001</v>
      </c>
      <c r="N89" s="58">
        <f t="shared" si="79"/>
        <v>-1.9999999999997797E-4</v>
      </c>
      <c r="O89" s="58">
        <f t="shared" si="80"/>
        <v>4.9999999999883471E-5</v>
      </c>
      <c r="P89" s="58"/>
      <c r="Q89" s="84">
        <v>160.25</v>
      </c>
      <c r="R89" s="84">
        <v>160.25</v>
      </c>
      <c r="S89" s="84">
        <v>160.25</v>
      </c>
      <c r="T89" s="84">
        <v>160.25</v>
      </c>
      <c r="U89" s="84">
        <v>160.25</v>
      </c>
      <c r="V89" s="84">
        <v>160.25</v>
      </c>
      <c r="W89" s="84">
        <v>160.25</v>
      </c>
      <c r="X89" s="84">
        <v>160.25</v>
      </c>
      <c r="Y89" s="58">
        <f>AVERAGE(C85,C89)-AVERAGE(C$84,C$90)</f>
        <v>-3.2500000000013074E-4</v>
      </c>
      <c r="Z89" s="58">
        <f t="shared" ref="Z89:AF89" si="86">AVERAGE(D85,D89)-AVERAGE(D$84,D$90)</f>
        <v>-1.7500000000003624E-4</v>
      </c>
      <c r="AA89" s="58">
        <f t="shared" si="86"/>
        <v>-1.0000000000021103E-4</v>
      </c>
      <c r="AB89" s="58">
        <f t="shared" si="86"/>
        <v>-3.2499999999968665E-4</v>
      </c>
      <c r="AC89" s="58">
        <f t="shared" si="86"/>
        <v>-1.2500000000015277E-4</v>
      </c>
      <c r="AD89" s="58">
        <f t="shared" si="86"/>
        <v>-1.9999999999953388E-4</v>
      </c>
      <c r="AE89" s="58">
        <f t="shared" si="86"/>
        <v>-3.00000000000189E-4</v>
      </c>
      <c r="AF89" s="58">
        <f t="shared" si="86"/>
        <v>-3.00000000000189E-4</v>
      </c>
    </row>
    <row r="90" spans="1:33" s="9" customFormat="1">
      <c r="A90" s="84"/>
      <c r="B90" s="84">
        <v>175</v>
      </c>
      <c r="C90" s="58">
        <v>2.2050000000000001</v>
      </c>
      <c r="D90" s="58">
        <v>2.2050000000000001</v>
      </c>
      <c r="E90" s="58">
        <v>2.2050000000000001</v>
      </c>
      <c r="F90" s="58">
        <v>2.2052</v>
      </c>
      <c r="G90" s="58">
        <v>2.2050000000000001</v>
      </c>
      <c r="H90" s="58">
        <v>2.2050000000000001</v>
      </c>
      <c r="I90" s="58">
        <v>2.2051500000000002</v>
      </c>
      <c r="J90" s="58">
        <v>2.2049500000000002</v>
      </c>
      <c r="K90" s="58">
        <f t="shared" si="76"/>
        <v>2.2049500000000002</v>
      </c>
      <c r="L90" s="58">
        <f t="shared" si="77"/>
        <v>2.2052</v>
      </c>
      <c r="M90" s="58">
        <f t="shared" si="78"/>
        <v>2.2050000000000001</v>
      </c>
      <c r="N90" s="58">
        <f t="shared" si="79"/>
        <v>-4.9999999999883471E-5</v>
      </c>
      <c r="O90" s="58">
        <f t="shared" si="80"/>
        <v>1.9999999999997797E-4</v>
      </c>
      <c r="P90" s="58"/>
      <c r="Q90" s="84">
        <v>175</v>
      </c>
      <c r="R90" s="84">
        <v>175</v>
      </c>
      <c r="S90" s="84">
        <v>175</v>
      </c>
      <c r="T90" s="84">
        <v>175</v>
      </c>
      <c r="U90" s="84">
        <v>175</v>
      </c>
      <c r="V90" s="84">
        <v>175</v>
      </c>
      <c r="W90" s="84">
        <v>175</v>
      </c>
      <c r="X90" s="84">
        <v>175</v>
      </c>
      <c r="Y90" s="58">
        <f>AVERAGE(C84,C90)-AVERAGE(C$84,C$90)</f>
        <v>0</v>
      </c>
      <c r="Z90" s="58">
        <f t="shared" ref="Z90:AF90" si="87">AVERAGE(D84,D90)-AVERAGE(D$84,D$90)</f>
        <v>0</v>
      </c>
      <c r="AA90" s="58">
        <f t="shared" si="87"/>
        <v>0</v>
      </c>
      <c r="AB90" s="58">
        <f t="shared" si="87"/>
        <v>0</v>
      </c>
      <c r="AC90" s="58">
        <f t="shared" si="87"/>
        <v>0</v>
      </c>
      <c r="AD90" s="58">
        <f t="shared" si="87"/>
        <v>0</v>
      </c>
      <c r="AE90" s="58">
        <f t="shared" si="87"/>
        <v>0</v>
      </c>
      <c r="AF90" s="58">
        <f t="shared" si="87"/>
        <v>0</v>
      </c>
    </row>
    <row r="91" spans="1:33" s="9" customFormat="1">
      <c r="P91" s="9" t="s">
        <v>367</v>
      </c>
      <c r="Q91" s="84">
        <v>5</v>
      </c>
      <c r="R91" s="84">
        <v>5</v>
      </c>
      <c r="S91" s="84">
        <v>5</v>
      </c>
      <c r="T91" s="84">
        <v>5</v>
      </c>
      <c r="U91" s="84">
        <v>5</v>
      </c>
      <c r="V91" s="84">
        <v>5</v>
      </c>
      <c r="W91" s="84">
        <v>5</v>
      </c>
      <c r="X91" s="84">
        <v>5</v>
      </c>
      <c r="Y91" s="58">
        <f t="shared" ref="Y91:Y97" si="88">Y84-$AG34</f>
        <v>0</v>
      </c>
      <c r="Z91" s="58">
        <f t="shared" ref="Z91:AF91" si="89">Z84-$AG34</f>
        <v>0</v>
      </c>
      <c r="AA91" s="58">
        <f t="shared" si="89"/>
        <v>0</v>
      </c>
      <c r="AB91" s="58">
        <f t="shared" si="89"/>
        <v>0</v>
      </c>
      <c r="AC91" s="58">
        <f t="shared" si="89"/>
        <v>0</v>
      </c>
      <c r="AD91" s="58">
        <f t="shared" si="89"/>
        <v>0</v>
      </c>
      <c r="AE91" s="58">
        <f t="shared" si="89"/>
        <v>0</v>
      </c>
      <c r="AF91" s="58">
        <f t="shared" si="89"/>
        <v>0</v>
      </c>
      <c r="AG91" s="9" t="s">
        <v>367</v>
      </c>
    </row>
    <row r="92" spans="1:33" s="9" customFormat="1">
      <c r="P92" s="9" t="s">
        <v>367</v>
      </c>
      <c r="Q92" s="84">
        <v>19.75</v>
      </c>
      <c r="R92" s="84">
        <v>19.75</v>
      </c>
      <c r="S92" s="84">
        <v>19.75</v>
      </c>
      <c r="T92" s="84">
        <v>19.75</v>
      </c>
      <c r="U92" s="84">
        <v>19.75</v>
      </c>
      <c r="V92" s="84">
        <v>19.75</v>
      </c>
      <c r="W92" s="84">
        <v>19.75</v>
      </c>
      <c r="X92" s="84">
        <v>19.75</v>
      </c>
      <c r="Y92" s="58">
        <f t="shared" si="88"/>
        <v>-2.8437500000000338E-4</v>
      </c>
      <c r="Z92" s="58">
        <f t="shared" ref="Z92:AF92" si="90">Z85-$AG35</f>
        <v>-1.3437499999990887E-4</v>
      </c>
      <c r="AA92" s="58">
        <f t="shared" si="90"/>
        <v>-5.9375000000083666E-5</v>
      </c>
      <c r="AB92" s="58">
        <f t="shared" si="90"/>
        <v>-2.8437499999955929E-4</v>
      </c>
      <c r="AC92" s="58">
        <f t="shared" si="90"/>
        <v>-8.4375000000025402E-5</v>
      </c>
      <c r="AD92" s="58">
        <f t="shared" si="90"/>
        <v>-1.5937499999940652E-4</v>
      </c>
      <c r="AE92" s="58">
        <f t="shared" si="90"/>
        <v>-2.5937500000006164E-4</v>
      </c>
      <c r="AF92" s="58">
        <f t="shared" si="90"/>
        <v>-2.5937500000006164E-4</v>
      </c>
      <c r="AG92" s="9" t="s">
        <v>367</v>
      </c>
    </row>
    <row r="93" spans="1:33" s="9" customFormat="1">
      <c r="P93" s="9" t="s">
        <v>367</v>
      </c>
      <c r="Q93" s="84">
        <v>45</v>
      </c>
      <c r="R93" s="84">
        <v>45</v>
      </c>
      <c r="S93" s="84">
        <v>45</v>
      </c>
      <c r="T93" s="84">
        <v>45</v>
      </c>
      <c r="U93" s="84">
        <v>45</v>
      </c>
      <c r="V93" s="84">
        <v>45</v>
      </c>
      <c r="W93" s="84">
        <v>45</v>
      </c>
      <c r="X93" s="84">
        <v>45</v>
      </c>
      <c r="Y93" s="58">
        <f t="shared" si="88"/>
        <v>-5.9687500000005222E-4</v>
      </c>
      <c r="Z93" s="58">
        <f t="shared" ref="Z93:AF93" si="91">Z86-$AG36</f>
        <v>-4.4687499999995772E-4</v>
      </c>
      <c r="AA93" s="58">
        <f t="shared" si="91"/>
        <v>-1.9687500000009628E-4</v>
      </c>
      <c r="AB93" s="58">
        <f t="shared" si="91"/>
        <v>-5.9687500000005222E-4</v>
      </c>
      <c r="AC93" s="58">
        <f t="shared" si="91"/>
        <v>-4.4687499999995772E-4</v>
      </c>
      <c r="AD93" s="58">
        <f t="shared" si="91"/>
        <v>-3.4687499999974669E-4</v>
      </c>
      <c r="AE93" s="58">
        <f t="shared" si="91"/>
        <v>-4.4687499999995772E-4</v>
      </c>
      <c r="AF93" s="58">
        <f t="shared" si="91"/>
        <v>-4.2187500000001599E-4</v>
      </c>
      <c r="AG93" s="9" t="s">
        <v>367</v>
      </c>
    </row>
    <row r="94" spans="1:33" s="9" customFormat="1">
      <c r="P94" s="9" t="s">
        <v>367</v>
      </c>
      <c r="Q94" s="84">
        <v>90</v>
      </c>
      <c r="R94" s="84">
        <v>90</v>
      </c>
      <c r="S94" s="84">
        <v>90</v>
      </c>
      <c r="T94" s="84">
        <v>90</v>
      </c>
      <c r="U94" s="84">
        <v>90</v>
      </c>
      <c r="V94" s="84">
        <v>90</v>
      </c>
      <c r="W94" s="84">
        <v>90</v>
      </c>
      <c r="X94" s="84">
        <v>90</v>
      </c>
      <c r="Y94" s="58">
        <f t="shared" si="88"/>
        <v>-6.4999999999976188E-4</v>
      </c>
      <c r="Z94" s="58">
        <f t="shared" ref="Z94:AF94" si="92">Z87-$AG37</f>
        <v>-5.7499999999993667E-4</v>
      </c>
      <c r="AA94" s="58">
        <f t="shared" si="92"/>
        <v>-1.2500000000009726E-4</v>
      </c>
      <c r="AB94" s="58">
        <f t="shared" si="92"/>
        <v>-6.7499999999970361E-4</v>
      </c>
      <c r="AC94" s="58">
        <f t="shared" si="92"/>
        <v>-5.7499999999993667E-4</v>
      </c>
      <c r="AD94" s="58">
        <f t="shared" si="92"/>
        <v>-5.7499999999993667E-4</v>
      </c>
      <c r="AE94" s="58">
        <f t="shared" si="92"/>
        <v>-5.250000000000532E-4</v>
      </c>
      <c r="AF94" s="58">
        <f t="shared" si="92"/>
        <v>-5.4999999999999494E-4</v>
      </c>
      <c r="AG94" s="9" t="s">
        <v>367</v>
      </c>
    </row>
    <row r="95" spans="1:33" s="9" customFormat="1">
      <c r="P95" s="9" t="s">
        <v>367</v>
      </c>
      <c r="Q95" s="84">
        <v>135</v>
      </c>
      <c r="R95" s="84">
        <v>135</v>
      </c>
      <c r="S95" s="84">
        <v>135</v>
      </c>
      <c r="T95" s="84">
        <v>135</v>
      </c>
      <c r="U95" s="84">
        <v>135</v>
      </c>
      <c r="V95" s="84">
        <v>135</v>
      </c>
      <c r="W95" s="84">
        <v>135</v>
      </c>
      <c r="X95" s="84">
        <v>135</v>
      </c>
      <c r="Y95" s="58">
        <f t="shared" si="88"/>
        <v>-5.9687500000005222E-4</v>
      </c>
      <c r="Z95" s="58">
        <f t="shared" ref="Z95:AF95" si="93">Z88-$AG38</f>
        <v>-4.4687499999995772E-4</v>
      </c>
      <c r="AA95" s="58">
        <f t="shared" si="93"/>
        <v>-1.9687500000009628E-4</v>
      </c>
      <c r="AB95" s="58">
        <f t="shared" si="93"/>
        <v>-5.9687500000005222E-4</v>
      </c>
      <c r="AC95" s="58">
        <f t="shared" si="93"/>
        <v>-4.4687499999995772E-4</v>
      </c>
      <c r="AD95" s="58">
        <f t="shared" si="93"/>
        <v>-3.4687499999974669E-4</v>
      </c>
      <c r="AE95" s="58">
        <f t="shared" si="93"/>
        <v>-4.4687499999995772E-4</v>
      </c>
      <c r="AF95" s="58">
        <f t="shared" si="93"/>
        <v>-4.2187500000001599E-4</v>
      </c>
      <c r="AG95" s="9" t="s">
        <v>367</v>
      </c>
    </row>
    <row r="96" spans="1:33" s="9" customFormat="1">
      <c r="P96" s="9" t="s">
        <v>367</v>
      </c>
      <c r="Q96" s="84">
        <v>160.25</v>
      </c>
      <c r="R96" s="84">
        <v>160.25</v>
      </c>
      <c r="S96" s="84">
        <v>160.25</v>
      </c>
      <c r="T96" s="84">
        <v>160.25</v>
      </c>
      <c r="U96" s="84">
        <v>160.25</v>
      </c>
      <c r="V96" s="84">
        <v>160.25</v>
      </c>
      <c r="W96" s="84">
        <v>160.25</v>
      </c>
      <c r="X96" s="84">
        <v>160.25</v>
      </c>
      <c r="Y96" s="58">
        <f t="shared" si="88"/>
        <v>-2.8437500000000338E-4</v>
      </c>
      <c r="Z96" s="58">
        <f t="shared" ref="Z96:AF96" si="94">Z89-$AG39</f>
        <v>-1.3437499999990887E-4</v>
      </c>
      <c r="AA96" s="58">
        <f t="shared" si="94"/>
        <v>-5.9375000000083666E-5</v>
      </c>
      <c r="AB96" s="58">
        <f t="shared" si="94"/>
        <v>-2.8437499999955929E-4</v>
      </c>
      <c r="AC96" s="58">
        <f t="shared" si="94"/>
        <v>-8.4375000000025402E-5</v>
      </c>
      <c r="AD96" s="58">
        <f t="shared" si="94"/>
        <v>-1.5937499999940652E-4</v>
      </c>
      <c r="AE96" s="58">
        <f t="shared" si="94"/>
        <v>-2.5937500000006164E-4</v>
      </c>
      <c r="AF96" s="58">
        <f t="shared" si="94"/>
        <v>-2.5937500000006164E-4</v>
      </c>
      <c r="AG96" s="9" t="s">
        <v>367</v>
      </c>
    </row>
    <row r="97" spans="1:33" s="9" customFormat="1">
      <c r="C97" s="83"/>
      <c r="D97" s="83"/>
      <c r="E97" s="83"/>
      <c r="F97" s="83"/>
      <c r="G97" s="83"/>
      <c r="H97" s="83"/>
      <c r="I97" s="83"/>
      <c r="J97" s="83"/>
      <c r="K97" s="58"/>
      <c r="L97" s="58"/>
      <c r="M97" s="58"/>
      <c r="N97" s="58"/>
      <c r="O97" s="58"/>
      <c r="P97" s="9" t="s">
        <v>367</v>
      </c>
      <c r="Q97" s="84">
        <v>175</v>
      </c>
      <c r="R97" s="84">
        <v>175</v>
      </c>
      <c r="S97" s="84">
        <v>175</v>
      </c>
      <c r="T97" s="84">
        <v>175</v>
      </c>
      <c r="U97" s="84">
        <v>175</v>
      </c>
      <c r="V97" s="84">
        <v>175</v>
      </c>
      <c r="W97" s="84">
        <v>175</v>
      </c>
      <c r="X97" s="84">
        <v>175</v>
      </c>
      <c r="Y97" s="58">
        <f t="shared" si="88"/>
        <v>0</v>
      </c>
      <c r="Z97" s="58">
        <f t="shared" ref="Z97:AF97" si="95">Z90-$AG40</f>
        <v>0</v>
      </c>
      <c r="AA97" s="58">
        <f t="shared" si="95"/>
        <v>0</v>
      </c>
      <c r="AB97" s="58">
        <f t="shared" si="95"/>
        <v>0</v>
      </c>
      <c r="AC97" s="58">
        <f t="shared" si="95"/>
        <v>0</v>
      </c>
      <c r="AD97" s="58">
        <f t="shared" si="95"/>
        <v>0</v>
      </c>
      <c r="AE97" s="58">
        <f t="shared" si="95"/>
        <v>0</v>
      </c>
      <c r="AF97" s="58">
        <f t="shared" si="95"/>
        <v>0</v>
      </c>
      <c r="AG97" s="9" t="s">
        <v>367</v>
      </c>
    </row>
    <row r="98" spans="1:33">
      <c r="A98" s="58"/>
      <c r="B98" s="9" t="s">
        <v>241</v>
      </c>
      <c r="C98" s="58">
        <v>74</v>
      </c>
      <c r="D98" s="58">
        <v>74.599999999999994</v>
      </c>
      <c r="E98" s="58">
        <v>74.400000000000006</v>
      </c>
      <c r="F98" s="58">
        <v>74.2</v>
      </c>
      <c r="G98" s="58">
        <v>74.400000000000006</v>
      </c>
      <c r="H98" s="58">
        <v>74.2</v>
      </c>
      <c r="I98" s="58">
        <v>74.2</v>
      </c>
      <c r="J98" s="58">
        <v>74.2</v>
      </c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X98" s="9"/>
      <c r="Y98" s="101" t="s">
        <v>270</v>
      </c>
      <c r="Z98" s="101"/>
      <c r="AA98" s="101"/>
      <c r="AB98" s="101"/>
      <c r="AC98" s="101"/>
      <c r="AD98" s="101"/>
      <c r="AE98" s="101"/>
      <c r="AF98" s="101"/>
    </row>
    <row r="99" spans="1:33">
      <c r="A99" s="58"/>
      <c r="B99" s="9" t="s">
        <v>364</v>
      </c>
      <c r="C99" s="83" t="s">
        <v>175</v>
      </c>
      <c r="D99" s="83" t="s">
        <v>176</v>
      </c>
      <c r="E99" s="83" t="s">
        <v>177</v>
      </c>
      <c r="F99" s="83" t="s">
        <v>178</v>
      </c>
      <c r="G99" s="83" t="s">
        <v>179</v>
      </c>
      <c r="H99" s="83" t="s">
        <v>180</v>
      </c>
      <c r="I99" s="83" t="s">
        <v>181</v>
      </c>
      <c r="J99" s="83" t="s">
        <v>182</v>
      </c>
      <c r="K99" s="53" t="s">
        <v>195</v>
      </c>
      <c r="L99" s="53" t="s">
        <v>183</v>
      </c>
      <c r="M99" s="53" t="s">
        <v>184</v>
      </c>
      <c r="N99" s="53" t="s">
        <v>185</v>
      </c>
      <c r="O99" s="53" t="s">
        <v>186</v>
      </c>
      <c r="P99" s="53"/>
      <c r="Q99" s="53"/>
      <c r="R99" s="53"/>
      <c r="S99" s="53"/>
      <c r="T99" s="53"/>
      <c r="U99" s="53"/>
      <c r="X99" s="9"/>
      <c r="Y99" s="79" t="s">
        <v>175</v>
      </c>
      <c r="Z99" s="79" t="s">
        <v>176</v>
      </c>
      <c r="AA99" s="79" t="s">
        <v>177</v>
      </c>
      <c r="AB99" s="79" t="s">
        <v>178</v>
      </c>
      <c r="AC99" s="79" t="s">
        <v>179</v>
      </c>
      <c r="AD99" s="79" t="s">
        <v>180</v>
      </c>
      <c r="AE99" s="79" t="s">
        <v>181</v>
      </c>
      <c r="AF99" s="79" t="s">
        <v>182</v>
      </c>
    </row>
    <row r="100" spans="1:33">
      <c r="A100" s="84">
        <v>5</v>
      </c>
      <c r="B100" s="84">
        <v>5</v>
      </c>
      <c r="C100" s="58">
        <v>2.2049500000000002</v>
      </c>
      <c r="D100" s="58">
        <v>2.2050000000000001</v>
      </c>
      <c r="E100" s="58">
        <v>2.2050999999999998</v>
      </c>
      <c r="F100" s="58">
        <v>2.2050999999999998</v>
      </c>
      <c r="G100" s="58">
        <v>2.2050000000000001</v>
      </c>
      <c r="H100" s="58">
        <v>2.2050999999999998</v>
      </c>
      <c r="I100" s="58">
        <v>2.2049500000000002</v>
      </c>
      <c r="J100" s="58">
        <v>2.2050000000000001</v>
      </c>
      <c r="K100" s="58">
        <f t="shared" ref="K100:K106" si="96">MIN(C100:J100)</f>
        <v>2.2049500000000002</v>
      </c>
      <c r="L100" s="58">
        <f t="shared" ref="L100:L106" si="97">MAX(C100:J100)</f>
        <v>2.2050999999999998</v>
      </c>
      <c r="M100" s="58">
        <f t="shared" ref="M100:M106" si="98">MODE(C100:J100)</f>
        <v>2.2050000000000001</v>
      </c>
      <c r="N100" s="58">
        <f t="shared" ref="N100:N106" si="99">K100-M100</f>
        <v>-4.9999999999883471E-5</v>
      </c>
      <c r="O100" s="58">
        <f t="shared" ref="O100:O106" si="100">L100-M100</f>
        <v>9.9999999999766942E-5</v>
      </c>
      <c r="P100" s="58"/>
      <c r="Q100" s="84">
        <v>5</v>
      </c>
      <c r="R100" s="84">
        <v>5</v>
      </c>
      <c r="S100" s="84">
        <v>5</v>
      </c>
      <c r="T100" s="84">
        <v>5</v>
      </c>
      <c r="U100" s="84">
        <v>5</v>
      </c>
      <c r="V100" s="84">
        <v>5</v>
      </c>
      <c r="W100" s="84">
        <v>5</v>
      </c>
      <c r="X100" s="84">
        <v>5</v>
      </c>
      <c r="Y100" s="58">
        <f>AVERAGE(C100,C106)-AVERAGE(C$100,C$106)</f>
        <v>0</v>
      </c>
      <c r="Z100" s="58">
        <f t="shared" ref="Z100:AF100" si="101">AVERAGE(D100,D106)-AVERAGE(D$100,D$106)</f>
        <v>0</v>
      </c>
      <c r="AA100" s="58">
        <f t="shared" si="101"/>
        <v>0</v>
      </c>
      <c r="AB100" s="58">
        <f t="shared" si="101"/>
        <v>0</v>
      </c>
      <c r="AC100" s="58">
        <f t="shared" si="101"/>
        <v>0</v>
      </c>
      <c r="AD100" s="58">
        <f t="shared" si="101"/>
        <v>0</v>
      </c>
      <c r="AE100" s="58">
        <f t="shared" si="101"/>
        <v>0</v>
      </c>
      <c r="AF100" s="58">
        <f t="shared" si="101"/>
        <v>0</v>
      </c>
    </row>
    <row r="101" spans="1:33">
      <c r="A101" s="84">
        <v>19.75</v>
      </c>
      <c r="B101" s="84">
        <v>19.75</v>
      </c>
      <c r="C101" s="58">
        <v>2.2050000000000001</v>
      </c>
      <c r="D101" s="58">
        <v>2.2048999999999999</v>
      </c>
      <c r="E101" s="58">
        <v>2.2050000000000001</v>
      </c>
      <c r="F101" s="58">
        <v>2.2050999999999998</v>
      </c>
      <c r="G101" s="58">
        <v>2.2050000000000001</v>
      </c>
      <c r="H101" s="58">
        <v>2.2050999999999998</v>
      </c>
      <c r="I101" s="58">
        <v>2.2048000000000001</v>
      </c>
      <c r="J101" s="58">
        <v>2.2050000000000001</v>
      </c>
      <c r="K101" s="58">
        <f t="shared" si="96"/>
        <v>2.2048000000000001</v>
      </c>
      <c r="L101" s="58">
        <f t="shared" si="97"/>
        <v>2.2050999999999998</v>
      </c>
      <c r="M101" s="58">
        <f t="shared" si="98"/>
        <v>2.2050000000000001</v>
      </c>
      <c r="N101" s="58">
        <f t="shared" si="99"/>
        <v>-1.9999999999997797E-4</v>
      </c>
      <c r="O101" s="58">
        <f t="shared" si="100"/>
        <v>9.9999999999766942E-5</v>
      </c>
      <c r="P101" s="58"/>
      <c r="Q101" s="84">
        <v>19.75</v>
      </c>
      <c r="R101" s="84">
        <v>19.75</v>
      </c>
      <c r="S101" s="84">
        <v>19.75</v>
      </c>
      <c r="T101" s="84">
        <v>19.75</v>
      </c>
      <c r="U101" s="84">
        <v>19.75</v>
      </c>
      <c r="V101" s="84">
        <v>19.75</v>
      </c>
      <c r="W101" s="84">
        <v>19.75</v>
      </c>
      <c r="X101" s="84">
        <v>19.75</v>
      </c>
      <c r="Y101" s="58">
        <f>AVERAGE(C101,C105)-AVERAGE(C$100,C$106)</f>
        <v>7.4999999999825206E-5</v>
      </c>
      <c r="Z101" s="58">
        <f t="shared" ref="Z101:AF101" si="102">AVERAGE(D101,D105)-AVERAGE(D$100,D$106)</f>
        <v>-1.0000000000021103E-4</v>
      </c>
      <c r="AA101" s="58">
        <f t="shared" si="102"/>
        <v>-4.9999999999883471E-5</v>
      </c>
      <c r="AB101" s="58">
        <f t="shared" si="102"/>
        <v>0</v>
      </c>
      <c r="AC101" s="58">
        <f t="shared" si="102"/>
        <v>4.9999999999883471E-5</v>
      </c>
      <c r="AD101" s="58">
        <f t="shared" si="102"/>
        <v>0</v>
      </c>
      <c r="AE101" s="58">
        <f t="shared" si="102"/>
        <v>-2.5000000000385825E-5</v>
      </c>
      <c r="AF101" s="58">
        <f t="shared" si="102"/>
        <v>0</v>
      </c>
    </row>
    <row r="102" spans="1:33">
      <c r="A102" s="84">
        <v>45</v>
      </c>
      <c r="B102" s="84">
        <v>45</v>
      </c>
      <c r="C102" s="58">
        <v>2.2050000000000001</v>
      </c>
      <c r="D102" s="58">
        <v>2.2048000000000001</v>
      </c>
      <c r="E102" s="58">
        <v>2.2050000000000001</v>
      </c>
      <c r="F102" s="58">
        <v>2.2049500000000002</v>
      </c>
      <c r="G102" s="58">
        <v>2.2050000000000001</v>
      </c>
      <c r="H102" s="58">
        <v>2.2048999999999999</v>
      </c>
      <c r="I102" s="58">
        <v>2.2048000000000001</v>
      </c>
      <c r="J102" s="58">
        <v>2.2048999999999999</v>
      </c>
      <c r="K102" s="58">
        <f t="shared" si="96"/>
        <v>2.2048000000000001</v>
      </c>
      <c r="L102" s="58">
        <f t="shared" si="97"/>
        <v>2.2050000000000001</v>
      </c>
      <c r="M102" s="58">
        <f t="shared" si="98"/>
        <v>2.2050000000000001</v>
      </c>
      <c r="N102" s="58">
        <f t="shared" si="99"/>
        <v>-1.9999999999997797E-4</v>
      </c>
      <c r="O102" s="58">
        <f t="shared" si="100"/>
        <v>0</v>
      </c>
      <c r="P102" s="58"/>
      <c r="Q102" s="84">
        <v>45</v>
      </c>
      <c r="R102" s="84">
        <v>45</v>
      </c>
      <c r="S102" s="84">
        <v>45</v>
      </c>
      <c r="T102" s="84">
        <v>45</v>
      </c>
      <c r="U102" s="84">
        <v>45</v>
      </c>
      <c r="V102" s="84">
        <v>45</v>
      </c>
      <c r="W102" s="84">
        <v>45</v>
      </c>
      <c r="X102" s="84">
        <v>45</v>
      </c>
      <c r="Y102" s="58">
        <f>AVERAGE(C102,C104)-AVERAGE(C$100,C$106)</f>
        <v>1.2499999999970868E-4</v>
      </c>
      <c r="Z102" s="58">
        <f t="shared" ref="Z102:AF102" si="103">AVERAGE(D102,D104)-AVERAGE(D$100,D$106)</f>
        <v>-1.500000000000945E-4</v>
      </c>
      <c r="AA102" s="58">
        <f t="shared" si="103"/>
        <v>-4.9999999999883471E-5</v>
      </c>
      <c r="AB102" s="58">
        <f t="shared" si="103"/>
        <v>-1.7499999999959215E-4</v>
      </c>
      <c r="AC102" s="58">
        <f t="shared" si="103"/>
        <v>4.9999999999883471E-5</v>
      </c>
      <c r="AD102" s="58">
        <f t="shared" si="103"/>
        <v>-9.9999999999766942E-5</v>
      </c>
      <c r="AE102" s="58">
        <f t="shared" si="103"/>
        <v>-2.5000000000385825E-5</v>
      </c>
      <c r="AF102" s="58">
        <f t="shared" si="103"/>
        <v>-1.0000000000021103E-4</v>
      </c>
    </row>
    <row r="103" spans="1:33">
      <c r="A103" s="84">
        <v>90</v>
      </c>
      <c r="B103" s="84">
        <v>90</v>
      </c>
      <c r="C103" s="58">
        <v>2.2052</v>
      </c>
      <c r="D103" s="58">
        <v>2.2048000000000001</v>
      </c>
      <c r="E103" s="58">
        <v>2.2050000000000001</v>
      </c>
      <c r="F103" s="58">
        <v>2.2048000000000001</v>
      </c>
      <c r="G103" s="58">
        <v>2.2052</v>
      </c>
      <c r="H103" s="58">
        <v>2.2048999999999999</v>
      </c>
      <c r="I103" s="58">
        <v>2.2048000000000001</v>
      </c>
      <c r="J103" s="58">
        <v>2.2050000000000001</v>
      </c>
      <c r="K103" s="58">
        <f t="shared" si="96"/>
        <v>2.2048000000000001</v>
      </c>
      <c r="L103" s="58">
        <f t="shared" si="97"/>
        <v>2.2052</v>
      </c>
      <c r="M103" s="58">
        <f t="shared" si="98"/>
        <v>2.2048000000000001</v>
      </c>
      <c r="N103" s="58">
        <f t="shared" si="99"/>
        <v>0</v>
      </c>
      <c r="O103" s="58">
        <f t="shared" si="100"/>
        <v>3.9999999999995595E-4</v>
      </c>
      <c r="P103" s="58"/>
      <c r="Q103" s="84">
        <v>90</v>
      </c>
      <c r="R103" s="84">
        <v>90</v>
      </c>
      <c r="S103" s="84">
        <v>90</v>
      </c>
      <c r="T103" s="84">
        <v>90</v>
      </c>
      <c r="U103" s="84">
        <v>90</v>
      </c>
      <c r="V103" s="84">
        <v>90</v>
      </c>
      <c r="W103" s="84">
        <v>90</v>
      </c>
      <c r="X103" s="84">
        <v>90</v>
      </c>
      <c r="Y103" s="58">
        <f>C103-AVERAGE(C$100,C$106)</f>
        <v>2.2499999999991971E-4</v>
      </c>
      <c r="Z103" s="58">
        <f t="shared" ref="Z103:AF103" si="104">D103-AVERAGE(D$100,D$106)</f>
        <v>-1.9999999999997797E-4</v>
      </c>
      <c r="AA103" s="58">
        <f t="shared" si="104"/>
        <v>-4.9999999999883471E-5</v>
      </c>
      <c r="AB103" s="58">
        <f t="shared" si="104"/>
        <v>-2.4999999999986144E-4</v>
      </c>
      <c r="AC103" s="58">
        <f t="shared" si="104"/>
        <v>1.9999999999997797E-4</v>
      </c>
      <c r="AD103" s="58">
        <f t="shared" si="104"/>
        <v>-1.500000000000945E-4</v>
      </c>
      <c r="AE103" s="58">
        <f t="shared" si="104"/>
        <v>-7.5000000000269296E-5</v>
      </c>
      <c r="AF103" s="58">
        <f t="shared" si="104"/>
        <v>0</v>
      </c>
    </row>
    <row r="104" spans="1:33">
      <c r="A104" s="84">
        <v>135</v>
      </c>
      <c r="B104" s="84">
        <v>135</v>
      </c>
      <c r="C104" s="58">
        <v>2.2052</v>
      </c>
      <c r="D104" s="58">
        <v>2.2048999999999999</v>
      </c>
      <c r="E104" s="58">
        <v>2.2050000000000001</v>
      </c>
      <c r="F104" s="58">
        <v>2.2048000000000001</v>
      </c>
      <c r="G104" s="58">
        <v>2.2050999999999998</v>
      </c>
      <c r="H104" s="58">
        <v>2.2050000000000001</v>
      </c>
      <c r="I104" s="58">
        <v>2.2048999999999999</v>
      </c>
      <c r="J104" s="58">
        <v>2.2048999999999999</v>
      </c>
      <c r="K104" s="58">
        <f t="shared" si="96"/>
        <v>2.2048000000000001</v>
      </c>
      <c r="L104" s="58">
        <f t="shared" si="97"/>
        <v>2.2052</v>
      </c>
      <c r="M104" s="58">
        <f t="shared" si="98"/>
        <v>2.2048999999999999</v>
      </c>
      <c r="N104" s="58">
        <f t="shared" si="99"/>
        <v>-9.9999999999766942E-5</v>
      </c>
      <c r="O104" s="58">
        <f t="shared" si="100"/>
        <v>3.00000000000189E-4</v>
      </c>
      <c r="P104" s="58"/>
      <c r="Q104" s="84">
        <v>135</v>
      </c>
      <c r="R104" s="84">
        <v>135</v>
      </c>
      <c r="S104" s="84">
        <v>135</v>
      </c>
      <c r="T104" s="84">
        <v>135</v>
      </c>
      <c r="U104" s="84">
        <v>135</v>
      </c>
      <c r="V104" s="84">
        <v>135</v>
      </c>
      <c r="W104" s="84">
        <v>135</v>
      </c>
      <c r="X104" s="84">
        <v>135</v>
      </c>
      <c r="Y104" s="58">
        <f>AVERAGE(C102,C104)-AVERAGE(C$100,C$106)</f>
        <v>1.2499999999970868E-4</v>
      </c>
      <c r="Z104" s="58">
        <f t="shared" ref="Z104:AF104" si="105">AVERAGE(D102,D104)-AVERAGE(D$100,D$106)</f>
        <v>-1.500000000000945E-4</v>
      </c>
      <c r="AA104" s="58">
        <f t="shared" si="105"/>
        <v>-4.9999999999883471E-5</v>
      </c>
      <c r="AB104" s="58">
        <f t="shared" si="105"/>
        <v>-1.7499999999959215E-4</v>
      </c>
      <c r="AC104" s="58">
        <f t="shared" si="105"/>
        <v>4.9999999999883471E-5</v>
      </c>
      <c r="AD104" s="58">
        <f t="shared" si="105"/>
        <v>-9.9999999999766942E-5</v>
      </c>
      <c r="AE104" s="58">
        <f t="shared" si="105"/>
        <v>-2.5000000000385825E-5</v>
      </c>
      <c r="AF104" s="58">
        <f t="shared" si="105"/>
        <v>-1.0000000000021103E-4</v>
      </c>
    </row>
    <row r="105" spans="1:33">
      <c r="A105" s="84">
        <v>160.25</v>
      </c>
      <c r="B105" s="84">
        <v>160.25</v>
      </c>
      <c r="C105" s="58">
        <v>2.2050999999999998</v>
      </c>
      <c r="D105" s="58">
        <v>2.2048999999999999</v>
      </c>
      <c r="E105" s="58">
        <v>2.2050000000000001</v>
      </c>
      <c r="F105" s="58">
        <v>2.2050000000000001</v>
      </c>
      <c r="G105" s="58">
        <v>2.2050999999999998</v>
      </c>
      <c r="H105" s="58">
        <v>2.2050000000000001</v>
      </c>
      <c r="I105" s="58">
        <v>2.2048999999999999</v>
      </c>
      <c r="J105" s="58">
        <v>2.2050000000000001</v>
      </c>
      <c r="K105" s="58">
        <f t="shared" si="96"/>
        <v>2.2048999999999999</v>
      </c>
      <c r="L105" s="58">
        <f t="shared" si="97"/>
        <v>2.2050999999999998</v>
      </c>
      <c r="M105" s="58">
        <f t="shared" si="98"/>
        <v>2.2050000000000001</v>
      </c>
      <c r="N105" s="58">
        <f t="shared" si="99"/>
        <v>-1.0000000000021103E-4</v>
      </c>
      <c r="O105" s="58">
        <f t="shared" si="100"/>
        <v>9.9999999999766942E-5</v>
      </c>
      <c r="P105" s="58"/>
      <c r="Q105" s="84">
        <v>160.25</v>
      </c>
      <c r="R105" s="84">
        <v>160.25</v>
      </c>
      <c r="S105" s="84">
        <v>160.25</v>
      </c>
      <c r="T105" s="84">
        <v>160.25</v>
      </c>
      <c r="U105" s="84">
        <v>160.25</v>
      </c>
      <c r="V105" s="84">
        <v>160.25</v>
      </c>
      <c r="W105" s="84">
        <v>160.25</v>
      </c>
      <c r="X105" s="84">
        <v>160.25</v>
      </c>
      <c r="Y105" s="58">
        <f>AVERAGE(C101,C105)-AVERAGE(C$100,C$106)</f>
        <v>7.4999999999825206E-5</v>
      </c>
      <c r="Z105" s="58">
        <f t="shared" ref="Z105:AF105" si="106">AVERAGE(D101,D105)-AVERAGE(D$100,D$106)</f>
        <v>-1.0000000000021103E-4</v>
      </c>
      <c r="AA105" s="58">
        <f t="shared" si="106"/>
        <v>-4.9999999999883471E-5</v>
      </c>
      <c r="AB105" s="58">
        <f t="shared" si="106"/>
        <v>0</v>
      </c>
      <c r="AC105" s="58">
        <f t="shared" si="106"/>
        <v>4.9999999999883471E-5</v>
      </c>
      <c r="AD105" s="58">
        <f t="shared" si="106"/>
        <v>0</v>
      </c>
      <c r="AE105" s="58">
        <f t="shared" si="106"/>
        <v>-2.5000000000385825E-5</v>
      </c>
      <c r="AF105" s="58">
        <f t="shared" si="106"/>
        <v>0</v>
      </c>
    </row>
    <row r="106" spans="1:33">
      <c r="A106" s="84">
        <v>175</v>
      </c>
      <c r="B106" s="84">
        <v>175</v>
      </c>
      <c r="C106" s="58">
        <v>2.2050000000000001</v>
      </c>
      <c r="D106" s="58">
        <v>2.2050000000000001</v>
      </c>
      <c r="E106" s="58">
        <v>2.2050000000000001</v>
      </c>
      <c r="F106" s="58">
        <v>2.2050000000000001</v>
      </c>
      <c r="G106" s="58">
        <v>2.2050000000000001</v>
      </c>
      <c r="H106" s="58">
        <v>2.2050000000000001</v>
      </c>
      <c r="I106" s="58">
        <v>2.2048000000000001</v>
      </c>
      <c r="J106" s="58">
        <v>2.2050000000000001</v>
      </c>
      <c r="K106" s="58">
        <f t="shared" si="96"/>
        <v>2.2048000000000001</v>
      </c>
      <c r="L106" s="58">
        <f t="shared" si="97"/>
        <v>2.2050000000000001</v>
      </c>
      <c r="M106" s="58">
        <f t="shared" si="98"/>
        <v>2.2050000000000001</v>
      </c>
      <c r="N106" s="58">
        <f t="shared" si="99"/>
        <v>-1.9999999999997797E-4</v>
      </c>
      <c r="O106" s="58">
        <f t="shared" si="100"/>
        <v>0</v>
      </c>
      <c r="P106" s="58"/>
      <c r="Q106" s="84">
        <v>175</v>
      </c>
      <c r="R106" s="84">
        <v>175</v>
      </c>
      <c r="S106" s="84">
        <v>175</v>
      </c>
      <c r="T106" s="84">
        <v>175</v>
      </c>
      <c r="U106" s="84">
        <v>175</v>
      </c>
      <c r="V106" s="84">
        <v>175</v>
      </c>
      <c r="W106" s="84">
        <v>175</v>
      </c>
      <c r="X106" s="84">
        <v>175</v>
      </c>
      <c r="Y106" s="58">
        <f>AVERAGE(C100,C106)-AVERAGE(C$100,C$106)</f>
        <v>0</v>
      </c>
      <c r="Z106" s="58">
        <f t="shared" ref="Z106:AF106" si="107">AVERAGE(D100,D106)-AVERAGE(D$100,D$106)</f>
        <v>0</v>
      </c>
      <c r="AA106" s="58">
        <f t="shared" si="107"/>
        <v>0</v>
      </c>
      <c r="AB106" s="58">
        <f t="shared" si="107"/>
        <v>0</v>
      </c>
      <c r="AC106" s="58">
        <f t="shared" si="107"/>
        <v>0</v>
      </c>
      <c r="AD106" s="58">
        <f t="shared" si="107"/>
        <v>0</v>
      </c>
      <c r="AE106" s="58">
        <f t="shared" si="107"/>
        <v>0</v>
      </c>
      <c r="AF106" s="58">
        <f t="shared" si="107"/>
        <v>0</v>
      </c>
    </row>
    <row r="112" spans="1:3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>
      <c r="A113" s="58"/>
      <c r="B113" s="9"/>
      <c r="C113" s="83"/>
      <c r="D113" s="83"/>
      <c r="E113" s="83"/>
      <c r="F113" s="83"/>
      <c r="G113" s="83"/>
      <c r="H113" s="83"/>
      <c r="I113" s="83"/>
      <c r="J113" s="83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>
      <c r="A114" s="58"/>
      <c r="B114" s="9" t="s">
        <v>241</v>
      </c>
      <c r="C114" s="58">
        <v>76</v>
      </c>
      <c r="D114" s="58">
        <v>75.5</v>
      </c>
      <c r="E114" s="58">
        <v>75.400000000000006</v>
      </c>
      <c r="F114" s="58">
        <v>74.2</v>
      </c>
      <c r="G114" s="58">
        <v>76</v>
      </c>
      <c r="H114" s="58">
        <v>73.8</v>
      </c>
      <c r="I114" s="58">
        <v>75.099999999999994</v>
      </c>
      <c r="J114" s="58">
        <v>74.7</v>
      </c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X114" s="9"/>
      <c r="Y114" s="101" t="s">
        <v>270</v>
      </c>
      <c r="Z114" s="101"/>
      <c r="AA114" s="101"/>
      <c r="AB114" s="101"/>
      <c r="AC114" s="101"/>
      <c r="AD114" s="101"/>
      <c r="AE114" s="101"/>
      <c r="AF114" s="101"/>
    </row>
    <row r="115" spans="1:32">
      <c r="A115" s="58"/>
      <c r="B115" s="9" t="s">
        <v>364</v>
      </c>
      <c r="C115" s="83" t="s">
        <v>175</v>
      </c>
      <c r="D115" s="83" t="s">
        <v>176</v>
      </c>
      <c r="E115" s="83" t="s">
        <v>177</v>
      </c>
      <c r="F115" s="83" t="s">
        <v>178</v>
      </c>
      <c r="G115" s="83" t="s">
        <v>179</v>
      </c>
      <c r="H115" s="83" t="s">
        <v>180</v>
      </c>
      <c r="I115" s="83" t="s">
        <v>181</v>
      </c>
      <c r="J115" s="83" t="s">
        <v>182</v>
      </c>
      <c r="K115" s="53" t="s">
        <v>195</v>
      </c>
      <c r="L115" s="53" t="s">
        <v>183</v>
      </c>
      <c r="M115" s="53" t="s">
        <v>184</v>
      </c>
      <c r="N115" s="53" t="s">
        <v>185</v>
      </c>
      <c r="O115" s="53" t="s">
        <v>186</v>
      </c>
      <c r="P115" s="53"/>
      <c r="Q115" s="53"/>
      <c r="R115" s="53"/>
      <c r="S115" s="53"/>
      <c r="T115" s="53"/>
      <c r="U115" s="53"/>
      <c r="X115" s="9"/>
      <c r="Y115" s="79" t="s">
        <v>175</v>
      </c>
      <c r="Z115" s="79" t="s">
        <v>176</v>
      </c>
      <c r="AA115" s="79" t="s">
        <v>177</v>
      </c>
      <c r="AB115" s="79" t="s">
        <v>178</v>
      </c>
      <c r="AC115" s="79" t="s">
        <v>179</v>
      </c>
      <c r="AD115" s="79" t="s">
        <v>180</v>
      </c>
      <c r="AE115" s="79" t="s">
        <v>181</v>
      </c>
      <c r="AF115" s="79" t="s">
        <v>182</v>
      </c>
    </row>
    <row r="116" spans="1:32">
      <c r="A116" s="84">
        <v>5</v>
      </c>
      <c r="B116" s="84">
        <v>5</v>
      </c>
      <c r="C116" s="58">
        <v>2.2048000000000001</v>
      </c>
      <c r="D116" s="58">
        <v>2.2048000000000001</v>
      </c>
      <c r="E116" s="58">
        <v>2.2048000000000001</v>
      </c>
      <c r="F116" s="58">
        <v>2.2047500000000002</v>
      </c>
      <c r="G116" s="58">
        <v>2.2048000000000001</v>
      </c>
      <c r="H116" s="58">
        <v>2.2047500000000002</v>
      </c>
      <c r="I116" s="58">
        <v>2.2047500000000002</v>
      </c>
      <c r="J116" s="58">
        <v>2.20485</v>
      </c>
      <c r="K116" s="58">
        <f t="shared" ref="K116:K122" si="108">MIN(C116:J116)</f>
        <v>2.2047500000000002</v>
      </c>
      <c r="L116" s="58">
        <f t="shared" ref="L116:L122" si="109">MAX(C116:J116)</f>
        <v>2.20485</v>
      </c>
      <c r="M116" s="58">
        <f t="shared" ref="M116:M122" si="110">MODE(C116:J116)</f>
        <v>2.2048000000000001</v>
      </c>
      <c r="N116" s="58">
        <f t="shared" ref="N116:N122" si="111">K116-M116</f>
        <v>-4.9999999999883471E-5</v>
      </c>
      <c r="O116" s="58">
        <f t="shared" ref="O116:O122" si="112">L116-M116</f>
        <v>4.9999999999883471E-5</v>
      </c>
      <c r="P116" s="58"/>
      <c r="Q116" s="84">
        <v>5</v>
      </c>
      <c r="R116" s="84">
        <v>5</v>
      </c>
      <c r="S116" s="84">
        <v>5</v>
      </c>
      <c r="T116" s="84">
        <v>5</v>
      </c>
      <c r="U116" s="84">
        <v>5</v>
      </c>
      <c r="V116" s="84">
        <v>5</v>
      </c>
      <c r="W116" s="84">
        <v>5</v>
      </c>
      <c r="X116" s="84">
        <v>5</v>
      </c>
      <c r="Y116" s="58">
        <f>AVERAGE(C116,C122)-AVERAGE(C$116,C$122)</f>
        <v>0</v>
      </c>
      <c r="Z116" s="58">
        <f t="shared" ref="Z116:AF116" si="113">AVERAGE(D116,D122)-AVERAGE(D$116,D$122)</f>
        <v>0</v>
      </c>
      <c r="AA116" s="58">
        <f t="shared" si="113"/>
        <v>0</v>
      </c>
      <c r="AB116" s="58">
        <f t="shared" si="113"/>
        <v>0</v>
      </c>
      <c r="AC116" s="58">
        <f t="shared" si="113"/>
        <v>0</v>
      </c>
      <c r="AD116" s="58">
        <f t="shared" si="113"/>
        <v>0</v>
      </c>
      <c r="AE116" s="58">
        <f t="shared" si="113"/>
        <v>0</v>
      </c>
      <c r="AF116" s="58">
        <f t="shared" si="113"/>
        <v>0</v>
      </c>
    </row>
    <row r="117" spans="1:32">
      <c r="A117" s="84">
        <v>19.75</v>
      </c>
      <c r="B117" s="84">
        <v>19.75</v>
      </c>
      <c r="C117" s="58">
        <v>2.2050999999999998</v>
      </c>
      <c r="D117" s="58">
        <v>2.2050000000000001</v>
      </c>
      <c r="E117" s="58">
        <v>2.2050999999999998</v>
      </c>
      <c r="F117" s="58">
        <v>2.2050999999999998</v>
      </c>
      <c r="G117" s="58">
        <v>2.2052</v>
      </c>
      <c r="H117" s="58">
        <v>2.2051500000000002</v>
      </c>
      <c r="I117" s="58">
        <v>2.2051500000000002</v>
      </c>
      <c r="J117" s="58">
        <v>2.2050000000000001</v>
      </c>
      <c r="K117" s="58">
        <f t="shared" si="108"/>
        <v>2.2050000000000001</v>
      </c>
      <c r="L117" s="58">
        <f t="shared" si="109"/>
        <v>2.2052</v>
      </c>
      <c r="M117" s="58">
        <f t="shared" si="110"/>
        <v>2.2050999999999998</v>
      </c>
      <c r="N117" s="58">
        <f t="shared" si="111"/>
        <v>-9.9999999999766942E-5</v>
      </c>
      <c r="O117" s="58">
        <f t="shared" si="112"/>
        <v>1.0000000000021103E-4</v>
      </c>
      <c r="P117" s="58"/>
      <c r="Q117" s="84">
        <v>19.75</v>
      </c>
      <c r="R117" s="84">
        <v>19.75</v>
      </c>
      <c r="S117" s="84">
        <v>19.75</v>
      </c>
      <c r="T117" s="84">
        <v>19.75</v>
      </c>
      <c r="U117" s="84">
        <v>19.75</v>
      </c>
      <c r="V117" s="84">
        <v>19.75</v>
      </c>
      <c r="W117" s="84">
        <v>19.75</v>
      </c>
      <c r="X117" s="84">
        <v>19.75</v>
      </c>
      <c r="Y117" s="58">
        <f>AVERAGE(C117,C121)-AVERAGE(C$116,C$122)</f>
        <v>3.4999999999962839E-4</v>
      </c>
      <c r="Z117" s="58">
        <f t="shared" ref="Z117:AF117" si="114">AVERAGE(D117,D121)-AVERAGE(D$116,D$122)</f>
        <v>1.9999999999997797E-4</v>
      </c>
      <c r="AA117" s="58">
        <f t="shared" si="114"/>
        <v>2.7499999999980318E-4</v>
      </c>
      <c r="AB117" s="58">
        <f t="shared" si="114"/>
        <v>3.2500000000013074E-4</v>
      </c>
      <c r="AC117" s="58">
        <f t="shared" si="114"/>
        <v>2.7499999999980318E-4</v>
      </c>
      <c r="AD117" s="58">
        <f t="shared" si="114"/>
        <v>3.4999999999962839E-4</v>
      </c>
      <c r="AE117" s="58">
        <f t="shared" si="114"/>
        <v>3.9999999999995595E-4</v>
      </c>
      <c r="AF117" s="58">
        <f t="shared" si="114"/>
        <v>2.2499999999991971E-4</v>
      </c>
    </row>
    <row r="118" spans="1:32">
      <c r="A118" s="84">
        <v>45</v>
      </c>
      <c r="B118" s="84">
        <v>45</v>
      </c>
      <c r="C118" s="58">
        <v>2.2056</v>
      </c>
      <c r="D118" s="58">
        <v>2.2051500000000002</v>
      </c>
      <c r="E118" s="58">
        <v>2.2054</v>
      </c>
      <c r="F118" s="58">
        <v>2.2056</v>
      </c>
      <c r="G118" s="58">
        <v>2.2054</v>
      </c>
      <c r="H118" s="58">
        <v>2.2054499999999999</v>
      </c>
      <c r="I118" s="58">
        <v>2.2054499999999999</v>
      </c>
      <c r="J118" s="58">
        <v>2.2052999999999998</v>
      </c>
      <c r="K118" s="58">
        <f t="shared" si="108"/>
        <v>2.2051500000000002</v>
      </c>
      <c r="L118" s="58">
        <f t="shared" si="109"/>
        <v>2.2056</v>
      </c>
      <c r="M118" s="58">
        <f t="shared" si="110"/>
        <v>2.2056</v>
      </c>
      <c r="N118" s="58">
        <f t="shared" si="111"/>
        <v>-4.4999999999983942E-4</v>
      </c>
      <c r="O118" s="58">
        <f t="shared" si="112"/>
        <v>0</v>
      </c>
      <c r="P118" s="58"/>
      <c r="Q118" s="84">
        <v>45</v>
      </c>
      <c r="R118" s="84">
        <v>45</v>
      </c>
      <c r="S118" s="84">
        <v>45</v>
      </c>
      <c r="T118" s="84">
        <v>45</v>
      </c>
      <c r="U118" s="84">
        <v>45</v>
      </c>
      <c r="V118" s="84">
        <v>45</v>
      </c>
      <c r="W118" s="84">
        <v>45</v>
      </c>
      <c r="X118" s="84">
        <v>45</v>
      </c>
      <c r="Y118" s="58">
        <f>AVERAGE(C118,C120)-AVERAGE(C$116,C$122)</f>
        <v>9.0000000000012292E-4</v>
      </c>
      <c r="Z118" s="58">
        <f t="shared" ref="Z118:AF118" si="115">AVERAGE(D118,D120)-AVERAGE(D$116,D$122)</f>
        <v>3.7500000000001421E-4</v>
      </c>
      <c r="AA118" s="58">
        <f t="shared" si="115"/>
        <v>6.2499999999987566E-4</v>
      </c>
      <c r="AB118" s="58">
        <f t="shared" si="115"/>
        <v>8.7500000000018119E-4</v>
      </c>
      <c r="AC118" s="58">
        <f t="shared" si="115"/>
        <v>5.9999999999993392E-4</v>
      </c>
      <c r="AD118" s="58">
        <f t="shared" si="115"/>
        <v>6.7499999999975913E-4</v>
      </c>
      <c r="AE118" s="58">
        <f t="shared" si="115"/>
        <v>7.249999999996426E-4</v>
      </c>
      <c r="AF118" s="58">
        <f t="shared" si="115"/>
        <v>5.0000000000016698E-4</v>
      </c>
    </row>
    <row r="119" spans="1:32">
      <c r="A119" s="84">
        <v>90</v>
      </c>
      <c r="B119" s="84">
        <v>90</v>
      </c>
      <c r="C119" s="58">
        <v>2.206</v>
      </c>
      <c r="D119" s="58">
        <v>2.2054</v>
      </c>
      <c r="E119" s="58">
        <v>2.2056499999999999</v>
      </c>
      <c r="F119" s="58">
        <v>2.2058</v>
      </c>
      <c r="G119" s="58">
        <v>2.2057500000000001</v>
      </c>
      <c r="H119" s="58">
        <v>2.2057500000000001</v>
      </c>
      <c r="I119" s="58">
        <v>2.2058</v>
      </c>
      <c r="J119" s="58">
        <v>2.2056</v>
      </c>
      <c r="K119" s="58">
        <f t="shared" si="108"/>
        <v>2.2054</v>
      </c>
      <c r="L119" s="58">
        <f t="shared" si="109"/>
        <v>2.206</v>
      </c>
      <c r="M119" s="58">
        <f t="shared" si="110"/>
        <v>2.2058</v>
      </c>
      <c r="N119" s="58">
        <f t="shared" si="111"/>
        <v>-3.9999999999995595E-4</v>
      </c>
      <c r="O119" s="58">
        <f t="shared" si="112"/>
        <v>1.9999999999997797E-4</v>
      </c>
      <c r="P119" s="58"/>
      <c r="Q119" s="84">
        <v>90</v>
      </c>
      <c r="R119" s="84">
        <v>90</v>
      </c>
      <c r="S119" s="84">
        <v>90</v>
      </c>
      <c r="T119" s="84">
        <v>90</v>
      </c>
      <c r="U119" s="84">
        <v>90</v>
      </c>
      <c r="V119" s="84">
        <v>90</v>
      </c>
      <c r="W119" s="84">
        <v>90</v>
      </c>
      <c r="X119" s="84">
        <v>90</v>
      </c>
      <c r="Y119" s="58">
        <f>C119-AVERAGE(C$116,C$122)</f>
        <v>1.1999999999998678E-3</v>
      </c>
      <c r="Z119" s="58">
        <f t="shared" ref="Z119:AF119" si="116">D119-AVERAGE(D$116,D$122)</f>
        <v>5.9999999999993392E-4</v>
      </c>
      <c r="AA119" s="58">
        <f t="shared" si="116"/>
        <v>8.749999999997371E-4</v>
      </c>
      <c r="AB119" s="58">
        <f t="shared" si="116"/>
        <v>1.0750000000001592E-3</v>
      </c>
      <c r="AC119" s="58">
        <f t="shared" si="116"/>
        <v>9.5000000000000639E-4</v>
      </c>
      <c r="AD119" s="58">
        <f t="shared" si="116"/>
        <v>9.7499999999994813E-4</v>
      </c>
      <c r="AE119" s="58">
        <f t="shared" si="116"/>
        <v>1.0249999999998316E-3</v>
      </c>
      <c r="AF119" s="58">
        <f t="shared" si="116"/>
        <v>7.2500000000008669E-4</v>
      </c>
    </row>
    <row r="120" spans="1:32">
      <c r="A120" s="84">
        <v>135</v>
      </c>
      <c r="B120" s="84">
        <v>135</v>
      </c>
      <c r="C120" s="58">
        <v>2.2058</v>
      </c>
      <c r="D120" s="58">
        <v>2.2052</v>
      </c>
      <c r="E120" s="58">
        <v>2.2054</v>
      </c>
      <c r="F120" s="58">
        <v>2.2056</v>
      </c>
      <c r="G120" s="58">
        <v>2.2054</v>
      </c>
      <c r="H120" s="58">
        <v>2.2054499999999999</v>
      </c>
      <c r="I120" s="58">
        <v>2.2055500000000001</v>
      </c>
      <c r="J120" s="58">
        <v>2.2054499999999999</v>
      </c>
      <c r="K120" s="58">
        <f t="shared" si="108"/>
        <v>2.2052</v>
      </c>
      <c r="L120" s="58">
        <f t="shared" si="109"/>
        <v>2.2058</v>
      </c>
      <c r="M120" s="58">
        <f t="shared" si="110"/>
        <v>2.2054</v>
      </c>
      <c r="N120" s="58">
        <f t="shared" si="111"/>
        <v>-1.9999999999997797E-4</v>
      </c>
      <c r="O120" s="58">
        <f t="shared" si="112"/>
        <v>3.9999999999995595E-4</v>
      </c>
      <c r="P120" s="58"/>
      <c r="Q120" s="84">
        <v>135</v>
      </c>
      <c r="R120" s="84">
        <v>135</v>
      </c>
      <c r="S120" s="84">
        <v>135</v>
      </c>
      <c r="T120" s="84">
        <v>135</v>
      </c>
      <c r="U120" s="84">
        <v>135</v>
      </c>
      <c r="V120" s="84">
        <v>135</v>
      </c>
      <c r="W120" s="84">
        <v>135</v>
      </c>
      <c r="X120" s="84">
        <v>135</v>
      </c>
      <c r="Y120" s="58">
        <f>AVERAGE(C118,C120)-AVERAGE(C$116,C$122)</f>
        <v>9.0000000000012292E-4</v>
      </c>
      <c r="Z120" s="58">
        <f t="shared" ref="Z120:AF120" si="117">AVERAGE(D118,D120)-AVERAGE(D$116,D$122)</f>
        <v>3.7500000000001421E-4</v>
      </c>
      <c r="AA120" s="58">
        <f t="shared" si="117"/>
        <v>6.2499999999987566E-4</v>
      </c>
      <c r="AB120" s="58">
        <f t="shared" si="117"/>
        <v>8.7500000000018119E-4</v>
      </c>
      <c r="AC120" s="58">
        <f t="shared" si="117"/>
        <v>5.9999999999993392E-4</v>
      </c>
      <c r="AD120" s="58">
        <f t="shared" si="117"/>
        <v>6.7499999999975913E-4</v>
      </c>
      <c r="AE120" s="58">
        <f t="shared" si="117"/>
        <v>7.249999999996426E-4</v>
      </c>
      <c r="AF120" s="58">
        <f t="shared" si="117"/>
        <v>5.0000000000016698E-4</v>
      </c>
    </row>
    <row r="121" spans="1:32">
      <c r="A121" s="84">
        <v>160.25</v>
      </c>
      <c r="B121" s="84">
        <v>160.25</v>
      </c>
      <c r="C121" s="58">
        <v>2.2052</v>
      </c>
      <c r="D121" s="58">
        <v>2.2050000000000001</v>
      </c>
      <c r="E121" s="58">
        <v>2.2050000000000001</v>
      </c>
      <c r="F121" s="58">
        <v>2.2050000000000001</v>
      </c>
      <c r="G121" s="58">
        <v>2.2049500000000002</v>
      </c>
      <c r="H121" s="58">
        <v>2.2050999999999998</v>
      </c>
      <c r="I121" s="58">
        <v>2.2052</v>
      </c>
      <c r="J121" s="58">
        <v>2.2052</v>
      </c>
      <c r="K121" s="58">
        <f t="shared" si="108"/>
        <v>2.2049500000000002</v>
      </c>
      <c r="L121" s="58">
        <f t="shared" si="109"/>
        <v>2.2052</v>
      </c>
      <c r="M121" s="58">
        <f t="shared" si="110"/>
        <v>2.2052</v>
      </c>
      <c r="N121" s="58">
        <f t="shared" si="111"/>
        <v>-2.4999999999986144E-4</v>
      </c>
      <c r="O121" s="58">
        <f t="shared" si="112"/>
        <v>0</v>
      </c>
      <c r="P121" s="58"/>
      <c r="Q121" s="84">
        <v>160.25</v>
      </c>
      <c r="R121" s="84">
        <v>160.25</v>
      </c>
      <c r="S121" s="84">
        <v>160.25</v>
      </c>
      <c r="T121" s="84">
        <v>160.25</v>
      </c>
      <c r="U121" s="84">
        <v>160.25</v>
      </c>
      <c r="V121" s="84">
        <v>160.25</v>
      </c>
      <c r="W121" s="84">
        <v>160.25</v>
      </c>
      <c r="X121" s="84">
        <v>160.25</v>
      </c>
      <c r="Y121" s="58">
        <f>AVERAGE(C117,C121)-AVERAGE(C$116,C$122)</f>
        <v>3.4999999999962839E-4</v>
      </c>
      <c r="Z121" s="58">
        <f t="shared" ref="Z121:AF121" si="118">AVERAGE(D117,D121)-AVERAGE(D$116,D$122)</f>
        <v>1.9999999999997797E-4</v>
      </c>
      <c r="AA121" s="58">
        <f t="shared" si="118"/>
        <v>2.7499999999980318E-4</v>
      </c>
      <c r="AB121" s="58">
        <f t="shared" si="118"/>
        <v>3.2500000000013074E-4</v>
      </c>
      <c r="AC121" s="58">
        <f t="shared" si="118"/>
        <v>2.7499999999980318E-4</v>
      </c>
      <c r="AD121" s="58">
        <f t="shared" si="118"/>
        <v>3.4999999999962839E-4</v>
      </c>
      <c r="AE121" s="58">
        <f t="shared" si="118"/>
        <v>3.9999999999995595E-4</v>
      </c>
      <c r="AF121" s="58">
        <f t="shared" si="118"/>
        <v>2.2499999999991971E-4</v>
      </c>
    </row>
    <row r="122" spans="1:32">
      <c r="A122" s="84">
        <v>175</v>
      </c>
      <c r="B122" s="84">
        <v>175</v>
      </c>
      <c r="C122" s="58">
        <v>2.2048000000000001</v>
      </c>
      <c r="D122" s="58">
        <v>2.2048000000000001</v>
      </c>
      <c r="E122" s="58">
        <v>2.2047500000000002</v>
      </c>
      <c r="F122" s="58">
        <v>2.2046999999999999</v>
      </c>
      <c r="G122" s="58">
        <v>2.2048000000000001</v>
      </c>
      <c r="H122" s="58">
        <v>2.2048000000000001</v>
      </c>
      <c r="I122" s="58">
        <v>2.2048000000000001</v>
      </c>
      <c r="J122" s="58">
        <v>2.2048999999999999</v>
      </c>
      <c r="K122" s="58">
        <f t="shared" si="108"/>
        <v>2.2046999999999999</v>
      </c>
      <c r="L122" s="58">
        <f t="shared" si="109"/>
        <v>2.2048999999999999</v>
      </c>
      <c r="M122" s="58">
        <f t="shared" si="110"/>
        <v>2.2048000000000001</v>
      </c>
      <c r="N122" s="58">
        <f t="shared" si="111"/>
        <v>-1.0000000000021103E-4</v>
      </c>
      <c r="O122" s="58">
        <f t="shared" si="112"/>
        <v>9.9999999999766942E-5</v>
      </c>
      <c r="P122" s="58"/>
      <c r="Q122" s="84">
        <v>175</v>
      </c>
      <c r="R122" s="84">
        <v>175</v>
      </c>
      <c r="S122" s="84">
        <v>175</v>
      </c>
      <c r="T122" s="84">
        <v>175</v>
      </c>
      <c r="U122" s="84">
        <v>175</v>
      </c>
      <c r="V122" s="84">
        <v>175</v>
      </c>
      <c r="W122" s="84">
        <v>175</v>
      </c>
      <c r="X122" s="84">
        <v>175</v>
      </c>
      <c r="Y122" s="58">
        <f>AVERAGE(C116,C122)-AVERAGE(C$116,C$122)</f>
        <v>0</v>
      </c>
      <c r="Z122" s="58">
        <f t="shared" ref="Z122:AF122" si="119">AVERAGE(D116,D122)-AVERAGE(D$116,D$122)</f>
        <v>0</v>
      </c>
      <c r="AA122" s="58">
        <f t="shared" si="119"/>
        <v>0</v>
      </c>
      <c r="AB122" s="58">
        <f t="shared" si="119"/>
        <v>0</v>
      </c>
      <c r="AC122" s="58">
        <f t="shared" si="119"/>
        <v>0</v>
      </c>
      <c r="AD122" s="58">
        <f t="shared" si="119"/>
        <v>0</v>
      </c>
      <c r="AE122" s="58">
        <f t="shared" si="119"/>
        <v>0</v>
      </c>
      <c r="AF122" s="58">
        <f t="shared" si="119"/>
        <v>0</v>
      </c>
    </row>
    <row r="126" spans="1:32">
      <c r="A126" t="s">
        <v>357</v>
      </c>
    </row>
    <row r="127" spans="1:32" s="9" customFormat="1">
      <c r="A127" s="58" t="s">
        <v>239</v>
      </c>
      <c r="B127" s="9" t="s">
        <v>352</v>
      </c>
      <c r="C127" s="83" t="s">
        <v>175</v>
      </c>
      <c r="D127" s="83" t="s">
        <v>176</v>
      </c>
      <c r="E127" s="83" t="s">
        <v>177</v>
      </c>
      <c r="F127" s="83" t="s">
        <v>178</v>
      </c>
      <c r="G127" s="83" t="s">
        <v>179</v>
      </c>
      <c r="H127" s="83" t="s">
        <v>180</v>
      </c>
      <c r="I127" s="83" t="s">
        <v>181</v>
      </c>
      <c r="J127" s="83" t="s">
        <v>182</v>
      </c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1:32" s="9" customFormat="1">
      <c r="A128" s="58"/>
      <c r="B128" s="9" t="s">
        <v>241</v>
      </c>
      <c r="C128" s="58">
        <v>74</v>
      </c>
      <c r="D128" s="58">
        <v>74.599999999999994</v>
      </c>
      <c r="E128" s="58">
        <v>74.400000000000006</v>
      </c>
      <c r="F128" s="58">
        <v>74.2</v>
      </c>
      <c r="G128" s="58">
        <v>74.400000000000006</v>
      </c>
      <c r="H128" s="58">
        <v>74.2</v>
      </c>
      <c r="I128" s="58">
        <v>74.2</v>
      </c>
      <c r="J128" s="58">
        <v>74.2</v>
      </c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Y128" s="101" t="s">
        <v>270</v>
      </c>
      <c r="Z128" s="101"/>
      <c r="AA128" s="101"/>
      <c r="AB128" s="101"/>
      <c r="AC128" s="101"/>
      <c r="AD128" s="101"/>
      <c r="AE128" s="101"/>
      <c r="AF128" s="101"/>
    </row>
    <row r="129" spans="1:32" s="9" customFormat="1">
      <c r="A129" s="58"/>
      <c r="B129" s="9" t="s">
        <v>242</v>
      </c>
      <c r="C129" s="58"/>
      <c r="D129" s="58"/>
      <c r="E129" s="58"/>
      <c r="F129" s="58"/>
      <c r="G129" s="58"/>
      <c r="H129" s="58"/>
      <c r="I129" s="58"/>
      <c r="J129" s="58"/>
      <c r="K129" s="53" t="s">
        <v>195</v>
      </c>
      <c r="L129" s="53" t="s">
        <v>183</v>
      </c>
      <c r="M129" s="53" t="s">
        <v>184</v>
      </c>
      <c r="N129" s="53" t="s">
        <v>185</v>
      </c>
      <c r="O129" s="53" t="s">
        <v>186</v>
      </c>
      <c r="P129" s="53"/>
      <c r="Q129" s="53"/>
      <c r="R129" s="53"/>
      <c r="S129" s="53"/>
      <c r="T129" s="53"/>
      <c r="U129" s="53"/>
      <c r="Y129" s="85" t="s">
        <v>175</v>
      </c>
      <c r="Z129" s="85" t="s">
        <v>176</v>
      </c>
      <c r="AA129" s="85" t="s">
        <v>177</v>
      </c>
      <c r="AB129" s="85" t="s">
        <v>178</v>
      </c>
      <c r="AC129" s="85" t="s">
        <v>179</v>
      </c>
      <c r="AD129" s="85" t="s">
        <v>180</v>
      </c>
      <c r="AE129" s="85" t="s">
        <v>181</v>
      </c>
      <c r="AF129" s="85" t="s">
        <v>182</v>
      </c>
    </row>
    <row r="130" spans="1:32" s="9" customFormat="1">
      <c r="A130" s="84">
        <v>5</v>
      </c>
      <c r="C130" s="58">
        <f>E130</f>
        <v>2.2048000000000001</v>
      </c>
      <c r="D130" s="58">
        <f>J130</f>
        <v>2.2048999999999999</v>
      </c>
      <c r="E130" s="58">
        <v>2.2048000000000001</v>
      </c>
      <c r="F130" s="58">
        <v>2.20485</v>
      </c>
      <c r="G130" s="58">
        <v>2.2050000000000001</v>
      </c>
      <c r="H130" s="58">
        <v>2.2050000000000001</v>
      </c>
      <c r="I130" s="58">
        <v>2.20485</v>
      </c>
      <c r="J130" s="58">
        <v>2.2048999999999999</v>
      </c>
      <c r="K130" s="58">
        <f t="shared" ref="K130:K136" si="120">MIN(C130:J130)</f>
        <v>2.2048000000000001</v>
      </c>
      <c r="L130" s="58">
        <f t="shared" ref="L130:L136" si="121">MAX(C130:J130)</f>
        <v>2.2050000000000001</v>
      </c>
      <c r="M130" s="58">
        <f t="shared" ref="M130:M136" si="122">MODE(C130:J130)</f>
        <v>2.2048000000000001</v>
      </c>
      <c r="N130" s="58">
        <f t="shared" ref="N130:N136" si="123">K130-M130</f>
        <v>0</v>
      </c>
      <c r="O130" s="58">
        <f t="shared" ref="O130:O136" si="124">L130-M130</f>
        <v>1.9999999999997797E-4</v>
      </c>
      <c r="P130" s="58"/>
      <c r="Q130" s="84">
        <v>5</v>
      </c>
      <c r="R130" s="84">
        <v>5</v>
      </c>
      <c r="S130" s="84">
        <v>5</v>
      </c>
      <c r="T130" s="84">
        <v>5</v>
      </c>
      <c r="U130" s="84">
        <v>5</v>
      </c>
      <c r="V130" s="84">
        <v>5</v>
      </c>
      <c r="W130" s="84">
        <v>5</v>
      </c>
      <c r="X130" s="84">
        <v>5</v>
      </c>
      <c r="Y130" s="58">
        <f>AVERAGE(C130,C136)-AVERAGE(C$130,C$136)</f>
        <v>0</v>
      </c>
      <c r="Z130" s="58">
        <f t="shared" ref="Z130:AF130" si="125">AVERAGE(D130,D136)-AVERAGE(D$130,D$136)</f>
        <v>0</v>
      </c>
      <c r="AA130" s="58">
        <f t="shared" si="125"/>
        <v>0</v>
      </c>
      <c r="AB130" s="58">
        <f t="shared" si="125"/>
        <v>0</v>
      </c>
      <c r="AC130" s="58">
        <f t="shared" si="125"/>
        <v>0</v>
      </c>
      <c r="AD130" s="58">
        <f t="shared" si="125"/>
        <v>0</v>
      </c>
      <c r="AE130" s="58">
        <f t="shared" si="125"/>
        <v>0</v>
      </c>
      <c r="AF130" s="58">
        <f t="shared" si="125"/>
        <v>0</v>
      </c>
    </row>
    <row r="131" spans="1:32" s="9" customFormat="1">
      <c r="A131" s="84">
        <v>19.75</v>
      </c>
      <c r="C131" s="58">
        <f>F131</f>
        <v>2.2048999999999999</v>
      </c>
      <c r="D131" s="58">
        <f>I131</f>
        <v>2.2048999999999999</v>
      </c>
      <c r="E131" s="58">
        <v>2.20485</v>
      </c>
      <c r="F131" s="58">
        <v>2.2048999999999999</v>
      </c>
      <c r="G131" s="58">
        <v>2.2049500000000002</v>
      </c>
      <c r="H131" s="58">
        <v>2.2048999999999999</v>
      </c>
      <c r="I131" s="58">
        <v>2.2048999999999999</v>
      </c>
      <c r="J131" s="58">
        <v>2.20485</v>
      </c>
      <c r="K131" s="58">
        <f t="shared" si="120"/>
        <v>2.20485</v>
      </c>
      <c r="L131" s="58">
        <f t="shared" si="121"/>
        <v>2.2049500000000002</v>
      </c>
      <c r="M131" s="58">
        <f t="shared" si="122"/>
        <v>2.2048999999999999</v>
      </c>
      <c r="N131" s="58">
        <f t="shared" si="123"/>
        <v>-4.9999999999883471E-5</v>
      </c>
      <c r="O131" s="58">
        <f t="shared" si="124"/>
        <v>5.000000000032756E-5</v>
      </c>
      <c r="P131" s="58"/>
      <c r="Q131" s="84">
        <v>19.75</v>
      </c>
      <c r="R131" s="84">
        <v>19.75</v>
      </c>
      <c r="S131" s="84">
        <v>19.75</v>
      </c>
      <c r="T131" s="84">
        <v>19.75</v>
      </c>
      <c r="U131" s="84">
        <v>19.75</v>
      </c>
      <c r="V131" s="84">
        <v>19.75</v>
      </c>
      <c r="W131" s="84">
        <v>19.75</v>
      </c>
      <c r="X131" s="84">
        <v>19.75</v>
      </c>
      <c r="Y131" s="58">
        <f>AVERAGE(C131,C135)-AVERAGE(C$130,C$136)</f>
        <v>9.9999999999766942E-5</v>
      </c>
      <c r="Z131" s="58">
        <f t="shared" ref="Z131:AF131" si="126">AVERAGE(D131,D135)-AVERAGE(D$130,D$136)</f>
        <v>-2.4999999999941735E-5</v>
      </c>
      <c r="AA131" s="58">
        <f t="shared" si="126"/>
        <v>9.9999999999766942E-5</v>
      </c>
      <c r="AB131" s="58">
        <f t="shared" si="126"/>
        <v>1.2500000000015277E-4</v>
      </c>
      <c r="AC131" s="58">
        <f t="shared" si="126"/>
        <v>-4.9999999999883471E-5</v>
      </c>
      <c r="AD131" s="58">
        <f t="shared" si="126"/>
        <v>-1.0000000000021103E-4</v>
      </c>
      <c r="AE131" s="58">
        <f t="shared" si="126"/>
        <v>0</v>
      </c>
      <c r="AF131" s="58">
        <f t="shared" si="126"/>
        <v>-2.4999999999941735E-5</v>
      </c>
    </row>
    <row r="132" spans="1:32" s="9" customFormat="1">
      <c r="A132" s="84">
        <v>45</v>
      </c>
      <c r="C132" s="58">
        <f>F132</f>
        <v>2.2048999999999999</v>
      </c>
      <c r="D132" s="58">
        <f>F132</f>
        <v>2.2048999999999999</v>
      </c>
      <c r="E132" s="58">
        <v>2.20485</v>
      </c>
      <c r="F132" s="58">
        <v>2.2048999999999999</v>
      </c>
      <c r="G132" s="58">
        <v>2.2048000000000001</v>
      </c>
      <c r="H132" s="58">
        <v>2.2046999999999999</v>
      </c>
      <c r="I132" s="58">
        <v>2.20485</v>
      </c>
      <c r="J132" s="58">
        <v>2.2048000000000001</v>
      </c>
      <c r="K132" s="58">
        <f t="shared" si="120"/>
        <v>2.2046999999999999</v>
      </c>
      <c r="L132" s="58">
        <f t="shared" si="121"/>
        <v>2.2048999999999999</v>
      </c>
      <c r="M132" s="58">
        <f t="shared" si="122"/>
        <v>2.2048999999999999</v>
      </c>
      <c r="N132" s="58">
        <f t="shared" si="123"/>
        <v>-1.9999999999997797E-4</v>
      </c>
      <c r="O132" s="58">
        <f t="shared" si="124"/>
        <v>0</v>
      </c>
      <c r="P132" s="58"/>
      <c r="Q132" s="84">
        <v>45</v>
      </c>
      <c r="R132" s="84">
        <v>45</v>
      </c>
      <c r="S132" s="84">
        <v>45</v>
      </c>
      <c r="T132" s="84">
        <v>45</v>
      </c>
      <c r="U132" s="84">
        <v>45</v>
      </c>
      <c r="V132" s="84">
        <v>45</v>
      </c>
      <c r="W132" s="84">
        <v>45</v>
      </c>
      <c r="X132" s="84">
        <v>45</v>
      </c>
      <c r="Y132" s="58">
        <f>AVERAGE(C132,C134)-AVERAGE(C$130,C$136)</f>
        <v>9.9999999999766942E-5</v>
      </c>
      <c r="Z132" s="58">
        <f t="shared" ref="Z132:AF132" si="127">AVERAGE(D132,D134)-AVERAGE(D$130,D$136)</f>
        <v>0</v>
      </c>
      <c r="AA132" s="58">
        <f t="shared" si="127"/>
        <v>7.4999999999825206E-5</v>
      </c>
      <c r="AB132" s="58">
        <f t="shared" si="127"/>
        <v>1.7500000000003624E-4</v>
      </c>
      <c r="AC132" s="58">
        <f t="shared" si="127"/>
        <v>-9.9999999999766942E-5</v>
      </c>
      <c r="AD132" s="58">
        <f t="shared" si="127"/>
        <v>-2.5000000000030553E-4</v>
      </c>
      <c r="AE132" s="58">
        <f t="shared" si="127"/>
        <v>0</v>
      </c>
      <c r="AF132" s="58">
        <f t="shared" si="127"/>
        <v>-1.0000000000021103E-4</v>
      </c>
    </row>
    <row r="133" spans="1:32" s="9" customFormat="1">
      <c r="A133" s="84">
        <v>90</v>
      </c>
      <c r="C133" s="58">
        <f>I133</f>
        <v>2.2050000000000001</v>
      </c>
      <c r="D133" s="58">
        <f>G133</f>
        <v>2.2050000000000001</v>
      </c>
      <c r="E133" s="58">
        <v>2.2049500000000002</v>
      </c>
      <c r="F133" s="58">
        <v>2.2051500000000002</v>
      </c>
      <c r="G133" s="58">
        <v>2.2050000000000001</v>
      </c>
      <c r="H133" s="58">
        <v>2.2048000000000001</v>
      </c>
      <c r="I133" s="58">
        <v>2.2050000000000001</v>
      </c>
      <c r="J133" s="58">
        <v>2.2049500000000002</v>
      </c>
      <c r="K133" s="58">
        <f t="shared" si="120"/>
        <v>2.2048000000000001</v>
      </c>
      <c r="L133" s="58">
        <f t="shared" si="121"/>
        <v>2.2051500000000002</v>
      </c>
      <c r="M133" s="58">
        <f t="shared" si="122"/>
        <v>2.2050000000000001</v>
      </c>
      <c r="N133" s="58">
        <f t="shared" si="123"/>
        <v>-1.9999999999997797E-4</v>
      </c>
      <c r="O133" s="58">
        <f t="shared" si="124"/>
        <v>1.500000000000945E-4</v>
      </c>
      <c r="P133" s="58"/>
      <c r="Q133" s="84">
        <v>90</v>
      </c>
      <c r="R133" s="84">
        <v>90</v>
      </c>
      <c r="S133" s="84">
        <v>90</v>
      </c>
      <c r="T133" s="84">
        <v>90</v>
      </c>
      <c r="U133" s="84">
        <v>90</v>
      </c>
      <c r="V133" s="84">
        <v>90</v>
      </c>
      <c r="W133" s="84">
        <v>90</v>
      </c>
      <c r="X133" s="84">
        <v>90</v>
      </c>
      <c r="Y133" s="58">
        <f>C133-AVERAGE(C$130,C$136)</f>
        <v>1.9999999999997797E-4</v>
      </c>
      <c r="Z133" s="58">
        <f t="shared" ref="Z133:AF133" si="128">D133-AVERAGE(D$130,D$136)</f>
        <v>4.9999999999883471E-5</v>
      </c>
      <c r="AA133" s="58">
        <f t="shared" si="128"/>
        <v>1.7500000000003624E-4</v>
      </c>
      <c r="AB133" s="58">
        <f t="shared" si="128"/>
        <v>3.2500000000013074E-4</v>
      </c>
      <c r="AC133" s="58">
        <f t="shared" si="128"/>
        <v>0</v>
      </c>
      <c r="AD133" s="58">
        <f t="shared" si="128"/>
        <v>-1.9999999999997797E-4</v>
      </c>
      <c r="AE133" s="58">
        <f t="shared" si="128"/>
        <v>7.4999999999825206E-5</v>
      </c>
      <c r="AF133" s="58">
        <f t="shared" si="128"/>
        <v>0</v>
      </c>
    </row>
    <row r="134" spans="1:32" s="9" customFormat="1">
      <c r="A134" s="84">
        <v>135</v>
      </c>
      <c r="C134" s="58">
        <f>J134</f>
        <v>2.2048999999999999</v>
      </c>
      <c r="D134" s="58">
        <f>I134</f>
        <v>2.2050000000000001</v>
      </c>
      <c r="E134" s="58">
        <v>2.20485</v>
      </c>
      <c r="F134" s="58">
        <v>2.2050999999999998</v>
      </c>
      <c r="G134" s="58">
        <v>2.2050000000000001</v>
      </c>
      <c r="H134" s="58">
        <v>2.2048000000000001</v>
      </c>
      <c r="I134" s="58">
        <v>2.2050000000000001</v>
      </c>
      <c r="J134" s="58">
        <v>2.2048999999999999</v>
      </c>
      <c r="K134" s="58">
        <f t="shared" si="120"/>
        <v>2.2048000000000001</v>
      </c>
      <c r="L134" s="58">
        <f t="shared" si="121"/>
        <v>2.2050999999999998</v>
      </c>
      <c r="M134" s="58">
        <f t="shared" si="122"/>
        <v>2.2050000000000001</v>
      </c>
      <c r="N134" s="58">
        <f t="shared" si="123"/>
        <v>-1.9999999999997797E-4</v>
      </c>
      <c r="O134" s="58">
        <f t="shared" si="124"/>
        <v>9.9999999999766942E-5</v>
      </c>
      <c r="P134" s="58"/>
      <c r="Q134" s="84">
        <v>135</v>
      </c>
      <c r="R134" s="84">
        <v>135</v>
      </c>
      <c r="S134" s="84">
        <v>135</v>
      </c>
      <c r="T134" s="84">
        <v>135</v>
      </c>
      <c r="U134" s="84">
        <v>135</v>
      </c>
      <c r="V134" s="84">
        <v>135</v>
      </c>
      <c r="W134" s="84">
        <v>135</v>
      </c>
      <c r="X134" s="84">
        <v>135</v>
      </c>
      <c r="Y134" s="58">
        <f>AVERAGE(C132,C134)-AVERAGE(C$130,C$136)</f>
        <v>9.9999999999766942E-5</v>
      </c>
      <c r="Z134" s="58">
        <f t="shared" ref="Z134:AF134" si="129">AVERAGE(D132,D134)-AVERAGE(D$130,D$136)</f>
        <v>0</v>
      </c>
      <c r="AA134" s="58">
        <f t="shared" si="129"/>
        <v>7.4999999999825206E-5</v>
      </c>
      <c r="AB134" s="58">
        <f t="shared" si="129"/>
        <v>1.7500000000003624E-4</v>
      </c>
      <c r="AC134" s="58">
        <f t="shared" si="129"/>
        <v>-9.9999999999766942E-5</v>
      </c>
      <c r="AD134" s="58">
        <f t="shared" si="129"/>
        <v>-2.5000000000030553E-4</v>
      </c>
      <c r="AE134" s="58">
        <f t="shared" si="129"/>
        <v>0</v>
      </c>
      <c r="AF134" s="58">
        <f t="shared" si="129"/>
        <v>-1.0000000000021103E-4</v>
      </c>
    </row>
    <row r="135" spans="1:32" s="9" customFormat="1">
      <c r="A135" s="84">
        <v>160.25</v>
      </c>
      <c r="C135" s="58">
        <f>H135</f>
        <v>2.2048999999999999</v>
      </c>
      <c r="D135" s="58">
        <f>I135</f>
        <v>2.2049500000000002</v>
      </c>
      <c r="E135" s="58">
        <v>2.2048999999999999</v>
      </c>
      <c r="F135" s="58">
        <v>2.2050000000000001</v>
      </c>
      <c r="G135" s="58">
        <v>2.2049500000000002</v>
      </c>
      <c r="H135" s="58">
        <v>2.2048999999999999</v>
      </c>
      <c r="I135" s="58">
        <v>2.2049500000000002</v>
      </c>
      <c r="J135" s="58">
        <v>2.2050000000000001</v>
      </c>
      <c r="K135" s="58">
        <f t="shared" si="120"/>
        <v>2.2048999999999999</v>
      </c>
      <c r="L135" s="58">
        <f t="shared" si="121"/>
        <v>2.2050000000000001</v>
      </c>
      <c r="M135" s="58">
        <f t="shared" si="122"/>
        <v>2.2048999999999999</v>
      </c>
      <c r="N135" s="58">
        <f t="shared" si="123"/>
        <v>0</v>
      </c>
      <c r="O135" s="58">
        <f t="shared" si="124"/>
        <v>1.0000000000021103E-4</v>
      </c>
      <c r="P135" s="58"/>
      <c r="Q135" s="84">
        <v>160.25</v>
      </c>
      <c r="R135" s="84">
        <v>160.25</v>
      </c>
      <c r="S135" s="84">
        <v>160.25</v>
      </c>
      <c r="T135" s="84">
        <v>160.25</v>
      </c>
      <c r="U135" s="84">
        <v>160.25</v>
      </c>
      <c r="V135" s="84">
        <v>160.25</v>
      </c>
      <c r="W135" s="84">
        <v>160.25</v>
      </c>
      <c r="X135" s="84">
        <v>160.25</v>
      </c>
      <c r="Y135" s="58">
        <f>AVERAGE(C131,C135)-AVERAGE(C$130,C$136)</f>
        <v>9.9999999999766942E-5</v>
      </c>
      <c r="Z135" s="58">
        <f t="shared" ref="Z135:AF135" si="130">AVERAGE(D131,D135)-AVERAGE(D$130,D$136)</f>
        <v>-2.4999999999941735E-5</v>
      </c>
      <c r="AA135" s="58">
        <f t="shared" si="130"/>
        <v>9.9999999999766942E-5</v>
      </c>
      <c r="AB135" s="58">
        <f t="shared" si="130"/>
        <v>1.2500000000015277E-4</v>
      </c>
      <c r="AC135" s="58">
        <f t="shared" si="130"/>
        <v>-4.9999999999883471E-5</v>
      </c>
      <c r="AD135" s="58">
        <f t="shared" si="130"/>
        <v>-1.0000000000021103E-4</v>
      </c>
      <c r="AE135" s="58">
        <f t="shared" si="130"/>
        <v>0</v>
      </c>
      <c r="AF135" s="58">
        <f t="shared" si="130"/>
        <v>-2.4999999999941735E-5</v>
      </c>
    </row>
    <row r="136" spans="1:32" s="9" customFormat="1">
      <c r="A136" s="84">
        <v>175</v>
      </c>
      <c r="C136" s="58">
        <f>F136</f>
        <v>2.2048000000000001</v>
      </c>
      <c r="D136" s="58">
        <f>H136</f>
        <v>2.2050000000000001</v>
      </c>
      <c r="E136" s="58">
        <v>2.2047500000000002</v>
      </c>
      <c r="F136" s="58">
        <v>2.2048000000000001</v>
      </c>
      <c r="G136" s="58">
        <v>2.2050000000000001</v>
      </c>
      <c r="H136" s="58">
        <v>2.2050000000000001</v>
      </c>
      <c r="I136" s="58">
        <v>2.2050000000000001</v>
      </c>
      <c r="J136" s="58">
        <v>2.2050000000000001</v>
      </c>
      <c r="K136" s="58">
        <f t="shared" si="120"/>
        <v>2.2047500000000002</v>
      </c>
      <c r="L136" s="58">
        <f t="shared" si="121"/>
        <v>2.2050000000000001</v>
      </c>
      <c r="M136" s="58">
        <f t="shared" si="122"/>
        <v>2.2050000000000001</v>
      </c>
      <c r="N136" s="58">
        <f t="shared" si="123"/>
        <v>-2.4999999999986144E-4</v>
      </c>
      <c r="O136" s="58">
        <f t="shared" si="124"/>
        <v>0</v>
      </c>
      <c r="P136" s="58"/>
      <c r="Q136" s="84">
        <v>175</v>
      </c>
      <c r="R136" s="84">
        <v>175</v>
      </c>
      <c r="S136" s="84">
        <v>175</v>
      </c>
      <c r="T136" s="84">
        <v>175</v>
      </c>
      <c r="U136" s="84">
        <v>175</v>
      </c>
      <c r="V136" s="84">
        <v>175</v>
      </c>
      <c r="W136" s="84">
        <v>175</v>
      </c>
      <c r="X136" s="84">
        <v>175</v>
      </c>
      <c r="Y136" s="58">
        <f>AVERAGE(C130,C136)-AVERAGE(C$130,C$136)</f>
        <v>0</v>
      </c>
      <c r="Z136" s="58">
        <f t="shared" ref="Z136:AF136" si="131">AVERAGE(D130,D136)-AVERAGE(D$130,D$136)</f>
        <v>0</v>
      </c>
      <c r="AA136" s="58">
        <f t="shared" si="131"/>
        <v>0</v>
      </c>
      <c r="AB136" s="58">
        <f t="shared" si="131"/>
        <v>0</v>
      </c>
      <c r="AC136" s="58">
        <f t="shared" si="131"/>
        <v>0</v>
      </c>
      <c r="AD136" s="58">
        <f t="shared" si="131"/>
        <v>0</v>
      </c>
      <c r="AE136" s="58">
        <f t="shared" si="131"/>
        <v>0</v>
      </c>
      <c r="AF136" s="58">
        <f t="shared" si="131"/>
        <v>0</v>
      </c>
    </row>
    <row r="141" spans="1:32" s="9" customFormat="1">
      <c r="A141" s="9" t="s">
        <v>357</v>
      </c>
    </row>
    <row r="142" spans="1:32" s="9" customFormat="1">
      <c r="A142" s="58" t="s">
        <v>239</v>
      </c>
      <c r="B142" s="9" t="s">
        <v>358</v>
      </c>
      <c r="C142" s="83" t="s">
        <v>175</v>
      </c>
      <c r="D142" s="83" t="s">
        <v>176</v>
      </c>
      <c r="E142" s="83" t="s">
        <v>177</v>
      </c>
      <c r="F142" s="83" t="s">
        <v>178</v>
      </c>
      <c r="G142" s="83" t="s">
        <v>179</v>
      </c>
      <c r="H142" s="83" t="s">
        <v>180</v>
      </c>
      <c r="I142" s="83" t="s">
        <v>181</v>
      </c>
      <c r="J142" s="83" t="s">
        <v>182</v>
      </c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32" s="9" customFormat="1">
      <c r="A143" s="58"/>
      <c r="B143" s="9" t="s">
        <v>241</v>
      </c>
      <c r="C143" s="58">
        <v>74</v>
      </c>
      <c r="D143" s="58">
        <v>74.599999999999994</v>
      </c>
      <c r="E143" s="58">
        <v>74.400000000000006</v>
      </c>
      <c r="F143" s="58">
        <v>74.2</v>
      </c>
      <c r="G143" s="58">
        <v>74.400000000000006</v>
      </c>
      <c r="H143" s="58">
        <v>74.2</v>
      </c>
      <c r="I143" s="58">
        <v>74.2</v>
      </c>
      <c r="J143" s="58">
        <v>74.2</v>
      </c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Y143" s="101" t="s">
        <v>270</v>
      </c>
      <c r="Z143" s="101"/>
      <c r="AA143" s="101"/>
      <c r="AB143" s="101"/>
      <c r="AC143" s="101"/>
      <c r="AD143" s="101"/>
      <c r="AE143" s="101"/>
      <c r="AF143" s="101"/>
    </row>
    <row r="144" spans="1:32" s="9" customFormat="1">
      <c r="A144" s="58"/>
      <c r="B144" s="9" t="s">
        <v>242</v>
      </c>
      <c r="C144" s="58"/>
      <c r="D144" s="58"/>
      <c r="E144" s="58"/>
      <c r="F144" s="58"/>
      <c r="G144" s="58"/>
      <c r="H144" s="58"/>
      <c r="I144" s="58"/>
      <c r="J144" s="58"/>
      <c r="K144" s="53" t="s">
        <v>195</v>
      </c>
      <c r="L144" s="53" t="s">
        <v>183</v>
      </c>
      <c r="M144" s="53" t="s">
        <v>184</v>
      </c>
      <c r="N144" s="53" t="s">
        <v>185</v>
      </c>
      <c r="O144" s="53" t="s">
        <v>186</v>
      </c>
      <c r="P144" s="53"/>
      <c r="Q144" s="53"/>
      <c r="R144" s="53"/>
      <c r="S144" s="53"/>
      <c r="T144" s="53"/>
      <c r="U144" s="53"/>
      <c r="Y144" s="85" t="s">
        <v>175</v>
      </c>
      <c r="Z144" s="85" t="s">
        <v>176</v>
      </c>
      <c r="AA144" s="85" t="s">
        <v>177</v>
      </c>
      <c r="AB144" s="85" t="s">
        <v>178</v>
      </c>
      <c r="AC144" s="85" t="s">
        <v>179</v>
      </c>
      <c r="AD144" s="85" t="s">
        <v>180</v>
      </c>
      <c r="AE144" s="85" t="s">
        <v>181</v>
      </c>
      <c r="AF144" s="85" t="s">
        <v>182</v>
      </c>
    </row>
    <row r="145" spans="1:32" s="9" customFormat="1">
      <c r="A145" s="84">
        <v>5</v>
      </c>
      <c r="C145" s="58">
        <f>E145</f>
        <v>2.2048000000000001</v>
      </c>
      <c r="D145" s="58">
        <f>J145</f>
        <v>2.2050000000000001</v>
      </c>
      <c r="E145" s="58">
        <v>2.2048000000000001</v>
      </c>
      <c r="F145" s="58">
        <v>2.2048000000000001</v>
      </c>
      <c r="G145" s="58">
        <v>2.2048999999999999</v>
      </c>
      <c r="H145" s="58">
        <v>2.2051500000000002</v>
      </c>
      <c r="I145" s="58">
        <v>2.2048999999999999</v>
      </c>
      <c r="J145" s="58">
        <v>2.2050000000000001</v>
      </c>
      <c r="K145" s="58">
        <f t="shared" ref="K145:K151" si="132">MIN(C145:J145)</f>
        <v>2.2048000000000001</v>
      </c>
      <c r="L145" s="58">
        <f t="shared" ref="L145:L151" si="133">MAX(C145:J145)</f>
        <v>2.2051500000000002</v>
      </c>
      <c r="M145" s="58">
        <f t="shared" ref="M145:M151" si="134">MODE(C145:J145)</f>
        <v>2.2048000000000001</v>
      </c>
      <c r="N145" s="58">
        <f t="shared" ref="N145:N151" si="135">K145-M145</f>
        <v>0</v>
      </c>
      <c r="O145" s="58">
        <f t="shared" ref="O145:O151" si="136">L145-M145</f>
        <v>3.5000000000007248E-4</v>
      </c>
      <c r="P145" s="58"/>
      <c r="Q145" s="84">
        <v>5</v>
      </c>
      <c r="R145" s="84">
        <v>5</v>
      </c>
      <c r="S145" s="84">
        <v>5</v>
      </c>
      <c r="T145" s="84">
        <v>5</v>
      </c>
      <c r="U145" s="84">
        <v>5</v>
      </c>
      <c r="V145" s="84">
        <v>5</v>
      </c>
      <c r="W145" s="84">
        <v>5</v>
      </c>
      <c r="X145" s="84">
        <v>5</v>
      </c>
      <c r="Y145" s="58">
        <f>AVERAGE(C145,C151)-AVERAGE(C$145,C$151)</f>
        <v>0</v>
      </c>
      <c r="Z145" s="58">
        <f t="shared" ref="Z145:AF145" si="137">AVERAGE(D145,D151)-AVERAGE(D$145,D$151)</f>
        <v>0</v>
      </c>
      <c r="AA145" s="58">
        <f t="shared" si="137"/>
        <v>0</v>
      </c>
      <c r="AB145" s="58">
        <f t="shared" si="137"/>
        <v>0</v>
      </c>
      <c r="AC145" s="58">
        <f t="shared" si="137"/>
        <v>0</v>
      </c>
      <c r="AD145" s="58">
        <f t="shared" si="137"/>
        <v>0</v>
      </c>
      <c r="AE145" s="58">
        <f t="shared" si="137"/>
        <v>0</v>
      </c>
      <c r="AF145" s="58">
        <f t="shared" si="137"/>
        <v>0</v>
      </c>
    </row>
    <row r="146" spans="1:32" s="9" customFormat="1">
      <c r="A146" s="84">
        <v>19.75</v>
      </c>
      <c r="C146" s="58">
        <f>F146</f>
        <v>2.2050000000000001</v>
      </c>
      <c r="D146" s="58">
        <f>I146</f>
        <v>2.2049500000000002</v>
      </c>
      <c r="E146" s="58">
        <v>2.2048999999999999</v>
      </c>
      <c r="F146" s="58">
        <v>2.2050000000000001</v>
      </c>
      <c r="G146" s="58">
        <v>2.2048999999999999</v>
      </c>
      <c r="H146" s="58">
        <v>2.2050000000000001</v>
      </c>
      <c r="I146" s="58">
        <v>2.2049500000000002</v>
      </c>
      <c r="J146" s="58">
        <v>2.2048999999999999</v>
      </c>
      <c r="K146" s="58">
        <f t="shared" si="132"/>
        <v>2.2048999999999999</v>
      </c>
      <c r="L146" s="58">
        <f t="shared" si="133"/>
        <v>2.2050000000000001</v>
      </c>
      <c r="M146" s="58">
        <f t="shared" si="134"/>
        <v>2.2050000000000001</v>
      </c>
      <c r="N146" s="58">
        <f t="shared" si="135"/>
        <v>-1.0000000000021103E-4</v>
      </c>
      <c r="O146" s="58">
        <f t="shared" si="136"/>
        <v>0</v>
      </c>
      <c r="P146" s="58"/>
      <c r="Q146" s="84">
        <v>19.75</v>
      </c>
      <c r="R146" s="84">
        <v>19.75</v>
      </c>
      <c r="S146" s="84">
        <v>19.75</v>
      </c>
      <c r="T146" s="84">
        <v>19.75</v>
      </c>
      <c r="U146" s="84">
        <v>19.75</v>
      </c>
      <c r="V146" s="84">
        <v>19.75</v>
      </c>
      <c r="W146" s="84">
        <v>19.75</v>
      </c>
      <c r="X146" s="84">
        <v>19.75</v>
      </c>
      <c r="Y146" s="58">
        <f>AVERAGE(C146,C150)-AVERAGE(C$145,C$151)</f>
        <v>9.9999999999766942E-5</v>
      </c>
      <c r="Z146" s="58">
        <f t="shared" ref="Z146:AF146" si="138">AVERAGE(D146,D150)-AVERAGE(D$145,D$151)</f>
        <v>-1.2499999999970868E-4</v>
      </c>
      <c r="AA146" s="58">
        <f t="shared" si="138"/>
        <v>0</v>
      </c>
      <c r="AB146" s="58">
        <f t="shared" si="138"/>
        <v>9.9999999999766942E-5</v>
      </c>
      <c r="AC146" s="58">
        <f t="shared" si="138"/>
        <v>-4.9999999999883471E-5</v>
      </c>
      <c r="AD146" s="58">
        <f t="shared" si="138"/>
        <v>-1.7500000000003624E-4</v>
      </c>
      <c r="AE146" s="58">
        <f t="shared" si="138"/>
        <v>2.4999999999941735E-5</v>
      </c>
      <c r="AF146" s="58">
        <f t="shared" si="138"/>
        <v>-1.2499999999970868E-4</v>
      </c>
    </row>
    <row r="147" spans="1:32" s="9" customFormat="1">
      <c r="A147" s="84">
        <v>45</v>
      </c>
      <c r="C147" s="58">
        <f>F147</f>
        <v>2.2050000000000001</v>
      </c>
      <c r="D147" s="58">
        <f>F147</f>
        <v>2.2050000000000001</v>
      </c>
      <c r="E147" s="58">
        <v>2.2050000000000001</v>
      </c>
      <c r="F147" s="58">
        <v>2.2050000000000001</v>
      </c>
      <c r="G147" s="58">
        <v>2.2048000000000001</v>
      </c>
      <c r="H147" s="58">
        <v>2.2046000000000001</v>
      </c>
      <c r="I147" s="58">
        <v>2.2048000000000001</v>
      </c>
      <c r="J147" s="58">
        <v>2.2048000000000001</v>
      </c>
      <c r="K147" s="58">
        <f t="shared" si="132"/>
        <v>2.2046000000000001</v>
      </c>
      <c r="L147" s="58">
        <f t="shared" si="133"/>
        <v>2.2050000000000001</v>
      </c>
      <c r="M147" s="58">
        <f t="shared" si="134"/>
        <v>2.2050000000000001</v>
      </c>
      <c r="N147" s="58">
        <f t="shared" si="135"/>
        <v>-3.9999999999995595E-4</v>
      </c>
      <c r="O147" s="58">
        <f t="shared" si="136"/>
        <v>0</v>
      </c>
      <c r="P147" s="58"/>
      <c r="Q147" s="84">
        <v>45</v>
      </c>
      <c r="R147" s="84">
        <v>45</v>
      </c>
      <c r="S147" s="84">
        <v>45</v>
      </c>
      <c r="T147" s="84">
        <v>45</v>
      </c>
      <c r="U147" s="84">
        <v>45</v>
      </c>
      <c r="V147" s="84">
        <v>45</v>
      </c>
      <c r="W147" s="84">
        <v>45</v>
      </c>
      <c r="X147" s="84">
        <v>45</v>
      </c>
      <c r="Y147" s="58">
        <f>AVERAGE(C147,C149)-AVERAGE(C$145,C$151)</f>
        <v>4.9999999999883471E-5</v>
      </c>
      <c r="Z147" s="58">
        <f t="shared" ref="Z147:AF147" si="139">AVERAGE(D147,D149)-AVERAGE(D$145,D$151)</f>
        <v>-9.9999999999766942E-5</v>
      </c>
      <c r="AA147" s="58">
        <f t="shared" si="139"/>
        <v>4.9999999999883471E-5</v>
      </c>
      <c r="AB147" s="58">
        <f t="shared" si="139"/>
        <v>1.7499999999959215E-4</v>
      </c>
      <c r="AC147" s="58">
        <f t="shared" si="139"/>
        <v>-1.500000000000945E-4</v>
      </c>
      <c r="AD147" s="58">
        <f t="shared" si="139"/>
        <v>-4.7500000000022524E-4</v>
      </c>
      <c r="AE147" s="58">
        <f t="shared" si="139"/>
        <v>-4.9999999999883471E-5</v>
      </c>
      <c r="AF147" s="58">
        <f t="shared" si="139"/>
        <v>-2.2499999999991971E-4</v>
      </c>
    </row>
    <row r="148" spans="1:32" s="9" customFormat="1">
      <c r="A148" s="84">
        <v>90</v>
      </c>
      <c r="C148" s="58">
        <f>I148</f>
        <v>2.2050000000000001</v>
      </c>
      <c r="D148" s="58">
        <f>G148</f>
        <v>2.2050000000000001</v>
      </c>
      <c r="E148" s="58">
        <v>2.2050000000000001</v>
      </c>
      <c r="F148" s="58">
        <v>2.2052</v>
      </c>
      <c r="G148" s="58">
        <v>2.2050000000000001</v>
      </c>
      <c r="H148" s="58">
        <v>2.20485</v>
      </c>
      <c r="I148" s="58">
        <v>2.2050000000000001</v>
      </c>
      <c r="J148" s="58">
        <v>2.2048000000000001</v>
      </c>
      <c r="K148" s="58">
        <f t="shared" si="132"/>
        <v>2.2048000000000001</v>
      </c>
      <c r="L148" s="58">
        <f t="shared" si="133"/>
        <v>2.2052</v>
      </c>
      <c r="M148" s="58">
        <f t="shared" si="134"/>
        <v>2.2050000000000001</v>
      </c>
      <c r="N148" s="58">
        <f t="shared" si="135"/>
        <v>-1.9999999999997797E-4</v>
      </c>
      <c r="O148" s="58">
        <f t="shared" si="136"/>
        <v>1.9999999999997797E-4</v>
      </c>
      <c r="P148" s="58"/>
      <c r="Q148" s="84">
        <v>90</v>
      </c>
      <c r="R148" s="84">
        <v>90</v>
      </c>
      <c r="S148" s="84">
        <v>90</v>
      </c>
      <c r="T148" s="84">
        <v>90</v>
      </c>
      <c r="U148" s="84">
        <v>90</v>
      </c>
      <c r="V148" s="84">
        <v>90</v>
      </c>
      <c r="W148" s="84">
        <v>90</v>
      </c>
      <c r="X148" s="84">
        <v>90</v>
      </c>
      <c r="Y148" s="58">
        <f>C148-AVERAGE(C$145,C$151)</f>
        <v>9.9999999999766942E-5</v>
      </c>
      <c r="Z148" s="58">
        <f t="shared" ref="Z148:AF148" si="140">D148-AVERAGE(D$145,D$151)</f>
        <v>-9.9999999999766942E-5</v>
      </c>
      <c r="AA148" s="58">
        <f t="shared" si="140"/>
        <v>9.9999999999766942E-5</v>
      </c>
      <c r="AB148" s="58">
        <f t="shared" si="140"/>
        <v>2.9999999999974492E-4</v>
      </c>
      <c r="AC148" s="58">
        <f t="shared" si="140"/>
        <v>0</v>
      </c>
      <c r="AD148" s="58">
        <f t="shared" si="140"/>
        <v>-3.2500000000013074E-4</v>
      </c>
      <c r="AE148" s="58">
        <f t="shared" si="140"/>
        <v>4.9999999999883471E-5</v>
      </c>
      <c r="AF148" s="58">
        <f t="shared" si="140"/>
        <v>-2.7499999999980318E-4</v>
      </c>
    </row>
    <row r="149" spans="1:32" s="9" customFormat="1">
      <c r="A149" s="84">
        <v>135</v>
      </c>
      <c r="C149" s="58">
        <f>J149</f>
        <v>2.2048999999999999</v>
      </c>
      <c r="D149" s="58">
        <f>I149</f>
        <v>2.2050000000000001</v>
      </c>
      <c r="E149" s="58">
        <v>2.2048999999999999</v>
      </c>
      <c r="F149" s="58">
        <v>2.2051500000000002</v>
      </c>
      <c r="G149" s="58">
        <v>2.2048999999999999</v>
      </c>
      <c r="H149" s="58">
        <v>2.2048000000000001</v>
      </c>
      <c r="I149" s="58">
        <v>2.2050000000000001</v>
      </c>
      <c r="J149" s="58">
        <v>2.2048999999999999</v>
      </c>
      <c r="K149" s="58">
        <f t="shared" si="132"/>
        <v>2.2048000000000001</v>
      </c>
      <c r="L149" s="58">
        <f t="shared" si="133"/>
        <v>2.2051500000000002</v>
      </c>
      <c r="M149" s="58">
        <f t="shared" si="134"/>
        <v>2.2048999999999999</v>
      </c>
      <c r="N149" s="58">
        <f t="shared" si="135"/>
        <v>-9.9999999999766942E-5</v>
      </c>
      <c r="O149" s="58">
        <f t="shared" si="136"/>
        <v>2.5000000000030553E-4</v>
      </c>
      <c r="P149" s="58"/>
      <c r="Q149" s="84">
        <v>135</v>
      </c>
      <c r="R149" s="84">
        <v>135</v>
      </c>
      <c r="S149" s="84">
        <v>135</v>
      </c>
      <c r="T149" s="84">
        <v>135</v>
      </c>
      <c r="U149" s="84">
        <v>135</v>
      </c>
      <c r="V149" s="84">
        <v>135</v>
      </c>
      <c r="W149" s="84">
        <v>135</v>
      </c>
      <c r="X149" s="84">
        <v>135</v>
      </c>
      <c r="Y149" s="58">
        <f>AVERAGE(C147,C149)-AVERAGE(C$145,C$151)</f>
        <v>4.9999999999883471E-5</v>
      </c>
      <c r="Z149" s="58">
        <f t="shared" ref="Z149:AF149" si="141">AVERAGE(D147,D149)-AVERAGE(D$145,D$151)</f>
        <v>-9.9999999999766942E-5</v>
      </c>
      <c r="AA149" s="58">
        <f t="shared" si="141"/>
        <v>4.9999999999883471E-5</v>
      </c>
      <c r="AB149" s="58">
        <f t="shared" si="141"/>
        <v>1.7499999999959215E-4</v>
      </c>
      <c r="AC149" s="58">
        <f t="shared" si="141"/>
        <v>-1.500000000000945E-4</v>
      </c>
      <c r="AD149" s="58">
        <f t="shared" si="141"/>
        <v>-4.7500000000022524E-4</v>
      </c>
      <c r="AE149" s="58">
        <f t="shared" si="141"/>
        <v>-4.9999999999883471E-5</v>
      </c>
      <c r="AF149" s="58">
        <f t="shared" si="141"/>
        <v>-2.2499999999991971E-4</v>
      </c>
    </row>
    <row r="150" spans="1:32" s="9" customFormat="1">
      <c r="A150" s="84">
        <v>160.25</v>
      </c>
      <c r="C150" s="58">
        <f>H150</f>
        <v>2.2050000000000001</v>
      </c>
      <c r="D150" s="58">
        <f>I150</f>
        <v>2.2050000000000001</v>
      </c>
      <c r="E150" s="58">
        <v>2.2048999999999999</v>
      </c>
      <c r="F150" s="58">
        <v>2.2050000000000001</v>
      </c>
      <c r="G150" s="58">
        <v>2.2050000000000001</v>
      </c>
      <c r="H150" s="58">
        <v>2.2050000000000001</v>
      </c>
      <c r="I150" s="58">
        <v>2.2050000000000001</v>
      </c>
      <c r="J150" s="58">
        <v>2.2050000000000001</v>
      </c>
      <c r="K150" s="58">
        <f t="shared" si="132"/>
        <v>2.2048999999999999</v>
      </c>
      <c r="L150" s="58">
        <f t="shared" si="133"/>
        <v>2.2050000000000001</v>
      </c>
      <c r="M150" s="58">
        <f t="shared" si="134"/>
        <v>2.2050000000000001</v>
      </c>
      <c r="N150" s="58">
        <f t="shared" si="135"/>
        <v>-1.0000000000021103E-4</v>
      </c>
      <c r="O150" s="58">
        <f t="shared" si="136"/>
        <v>0</v>
      </c>
      <c r="P150" s="58"/>
      <c r="Q150" s="84">
        <v>160.25</v>
      </c>
      <c r="R150" s="84">
        <v>160.25</v>
      </c>
      <c r="S150" s="84">
        <v>160.25</v>
      </c>
      <c r="T150" s="84">
        <v>160.25</v>
      </c>
      <c r="U150" s="84">
        <v>160.25</v>
      </c>
      <c r="V150" s="84">
        <v>160.25</v>
      </c>
      <c r="W150" s="84">
        <v>160.25</v>
      </c>
      <c r="X150" s="84">
        <v>160.25</v>
      </c>
      <c r="Y150" s="58">
        <f>AVERAGE(C146,C150)-AVERAGE(C$145,C$151)</f>
        <v>9.9999999999766942E-5</v>
      </c>
      <c r="Z150" s="58">
        <f t="shared" ref="Z150:AF150" si="142">AVERAGE(D146,D150)-AVERAGE(D$145,D$151)</f>
        <v>-1.2499999999970868E-4</v>
      </c>
      <c r="AA150" s="58">
        <f t="shared" si="142"/>
        <v>0</v>
      </c>
      <c r="AB150" s="58">
        <f t="shared" si="142"/>
        <v>9.9999999999766942E-5</v>
      </c>
      <c r="AC150" s="58">
        <f t="shared" si="142"/>
        <v>-4.9999999999883471E-5</v>
      </c>
      <c r="AD150" s="58">
        <f t="shared" si="142"/>
        <v>-1.7500000000003624E-4</v>
      </c>
      <c r="AE150" s="58">
        <f t="shared" si="142"/>
        <v>2.4999999999941735E-5</v>
      </c>
      <c r="AF150" s="58">
        <f t="shared" si="142"/>
        <v>-1.2499999999970868E-4</v>
      </c>
    </row>
    <row r="151" spans="1:32" s="9" customFormat="1">
      <c r="A151" s="84">
        <v>175</v>
      </c>
      <c r="C151" s="58">
        <f>F151</f>
        <v>2.2050000000000001</v>
      </c>
      <c r="D151" s="58">
        <f>H151</f>
        <v>2.2052</v>
      </c>
      <c r="E151" s="58">
        <v>2.2050000000000001</v>
      </c>
      <c r="F151" s="58">
        <v>2.2050000000000001</v>
      </c>
      <c r="G151" s="58">
        <v>2.2050999999999998</v>
      </c>
      <c r="H151" s="58">
        <v>2.2052</v>
      </c>
      <c r="I151" s="58">
        <v>2.2050000000000001</v>
      </c>
      <c r="J151" s="58">
        <v>2.2051500000000002</v>
      </c>
      <c r="K151" s="58">
        <f t="shared" si="132"/>
        <v>2.2050000000000001</v>
      </c>
      <c r="L151" s="58">
        <f t="shared" si="133"/>
        <v>2.2052</v>
      </c>
      <c r="M151" s="58">
        <f t="shared" si="134"/>
        <v>2.2050000000000001</v>
      </c>
      <c r="N151" s="58">
        <f t="shared" si="135"/>
        <v>0</v>
      </c>
      <c r="O151" s="58">
        <f t="shared" si="136"/>
        <v>1.9999999999997797E-4</v>
      </c>
      <c r="P151" s="58"/>
      <c r="Q151" s="84">
        <v>175</v>
      </c>
      <c r="R151" s="84">
        <v>175</v>
      </c>
      <c r="S151" s="84">
        <v>175</v>
      </c>
      <c r="T151" s="84">
        <v>175</v>
      </c>
      <c r="U151" s="84">
        <v>175</v>
      </c>
      <c r="V151" s="84">
        <v>175</v>
      </c>
      <c r="W151" s="84">
        <v>175</v>
      </c>
      <c r="X151" s="84">
        <v>175</v>
      </c>
      <c r="Y151" s="58">
        <f>AVERAGE(C145,C151)-AVERAGE(C$145,C$151)</f>
        <v>0</v>
      </c>
      <c r="Z151" s="58">
        <f t="shared" ref="Z151:AF151" si="143">AVERAGE(D145,D151)-AVERAGE(D$145,D$151)</f>
        <v>0</v>
      </c>
      <c r="AA151" s="58">
        <f t="shared" si="143"/>
        <v>0</v>
      </c>
      <c r="AB151" s="58">
        <f t="shared" si="143"/>
        <v>0</v>
      </c>
      <c r="AC151" s="58">
        <f t="shared" si="143"/>
        <v>0</v>
      </c>
      <c r="AD151" s="58">
        <f t="shared" si="143"/>
        <v>0</v>
      </c>
      <c r="AE151" s="58">
        <f t="shared" si="143"/>
        <v>0</v>
      </c>
      <c r="AF151" s="58">
        <f t="shared" si="143"/>
        <v>0</v>
      </c>
    </row>
    <row r="156" spans="1:32" s="9" customFormat="1">
      <c r="A156" s="9" t="s">
        <v>357</v>
      </c>
    </row>
    <row r="157" spans="1:32" s="9" customFormat="1">
      <c r="A157" s="58" t="s">
        <v>239</v>
      </c>
      <c r="B157" s="9" t="s">
        <v>359</v>
      </c>
      <c r="C157" s="83" t="s">
        <v>175</v>
      </c>
      <c r="D157" s="83" t="s">
        <v>176</v>
      </c>
      <c r="E157" s="83" t="s">
        <v>177</v>
      </c>
      <c r="F157" s="83" t="s">
        <v>178</v>
      </c>
      <c r="G157" s="83" t="s">
        <v>179</v>
      </c>
      <c r="H157" s="83" t="s">
        <v>180</v>
      </c>
      <c r="I157" s="83" t="s">
        <v>181</v>
      </c>
      <c r="J157" s="83" t="s">
        <v>182</v>
      </c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32" s="9" customFormat="1">
      <c r="A158" s="58"/>
      <c r="B158" s="9" t="s">
        <v>241</v>
      </c>
      <c r="C158" s="58">
        <v>74</v>
      </c>
      <c r="D158" s="58">
        <v>74.599999999999994</v>
      </c>
      <c r="E158" s="58">
        <v>74.400000000000006</v>
      </c>
      <c r="F158" s="58">
        <v>74.2</v>
      </c>
      <c r="G158" s="58">
        <v>74.400000000000006</v>
      </c>
      <c r="H158" s="58">
        <v>74.2</v>
      </c>
      <c r="I158" s="58">
        <v>74.2</v>
      </c>
      <c r="J158" s="58">
        <v>74.2</v>
      </c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Y158" s="101" t="s">
        <v>270</v>
      </c>
      <c r="Z158" s="101"/>
      <c r="AA158" s="101"/>
      <c r="AB158" s="101"/>
      <c r="AC158" s="101"/>
      <c r="AD158" s="101"/>
      <c r="AE158" s="101"/>
      <c r="AF158" s="101"/>
    </row>
    <row r="159" spans="1:32" s="9" customFormat="1">
      <c r="A159" s="58"/>
      <c r="B159" s="9" t="s">
        <v>242</v>
      </c>
      <c r="C159" s="58"/>
      <c r="D159" s="58"/>
      <c r="E159" s="58"/>
      <c r="F159" s="58"/>
      <c r="G159" s="58"/>
      <c r="H159" s="58"/>
      <c r="I159" s="58"/>
      <c r="J159" s="58"/>
      <c r="K159" s="53" t="s">
        <v>195</v>
      </c>
      <c r="L159" s="53" t="s">
        <v>183</v>
      </c>
      <c r="M159" s="53" t="s">
        <v>184</v>
      </c>
      <c r="N159" s="53" t="s">
        <v>185</v>
      </c>
      <c r="O159" s="53" t="s">
        <v>186</v>
      </c>
      <c r="P159" s="53"/>
      <c r="Q159" s="53"/>
      <c r="R159" s="53"/>
      <c r="S159" s="53"/>
      <c r="T159" s="53"/>
      <c r="U159" s="53"/>
      <c r="Y159" s="85" t="s">
        <v>175</v>
      </c>
      <c r="Z159" s="85" t="s">
        <v>176</v>
      </c>
      <c r="AA159" s="85" t="s">
        <v>177</v>
      </c>
      <c r="AB159" s="85" t="s">
        <v>178</v>
      </c>
      <c r="AC159" s="85" t="s">
        <v>179</v>
      </c>
      <c r="AD159" s="85" t="s">
        <v>180</v>
      </c>
      <c r="AE159" s="85" t="s">
        <v>181</v>
      </c>
      <c r="AF159" s="85" t="s">
        <v>182</v>
      </c>
    </row>
    <row r="160" spans="1:32" s="9" customFormat="1">
      <c r="A160" s="84">
        <v>5</v>
      </c>
      <c r="C160" s="58">
        <f>E160</f>
        <v>2.2046000000000001</v>
      </c>
      <c r="D160" s="58">
        <f>J160</f>
        <v>2.2047500000000002</v>
      </c>
      <c r="E160" s="58">
        <v>2.2046000000000001</v>
      </c>
      <c r="F160" s="58">
        <v>2.2046999999999999</v>
      </c>
      <c r="G160" s="58">
        <v>2.2048000000000001</v>
      </c>
      <c r="H160" s="58">
        <v>2.2047500000000002</v>
      </c>
      <c r="I160" s="58">
        <v>2.2048000000000001</v>
      </c>
      <c r="J160" s="58">
        <v>2.2047500000000002</v>
      </c>
      <c r="K160" s="58">
        <f t="shared" ref="K160:K166" si="144">MIN(C160:J160)</f>
        <v>2.2046000000000001</v>
      </c>
      <c r="L160" s="58">
        <f t="shared" ref="L160:L166" si="145">MAX(C160:J160)</f>
        <v>2.2048000000000001</v>
      </c>
      <c r="M160" s="58">
        <f t="shared" ref="M160:M166" si="146">MODE(C160:J160)</f>
        <v>2.2047500000000002</v>
      </c>
      <c r="N160" s="58">
        <f t="shared" ref="N160:N166" si="147">K160-M160</f>
        <v>-1.500000000000945E-4</v>
      </c>
      <c r="O160" s="58">
        <f t="shared" ref="O160:O166" si="148">L160-M160</f>
        <v>4.9999999999883471E-5</v>
      </c>
      <c r="P160" s="58"/>
      <c r="Q160" s="84">
        <v>5</v>
      </c>
      <c r="R160" s="84">
        <v>5</v>
      </c>
      <c r="S160" s="84">
        <v>5</v>
      </c>
      <c r="T160" s="84">
        <v>5</v>
      </c>
      <c r="U160" s="84">
        <v>5</v>
      </c>
      <c r="V160" s="84">
        <v>5</v>
      </c>
      <c r="W160" s="84">
        <v>5</v>
      </c>
      <c r="X160" s="84">
        <v>5</v>
      </c>
      <c r="Y160" s="58">
        <f>AVERAGE(C160,C166)-AVERAGE(C$160,C$166)</f>
        <v>0</v>
      </c>
      <c r="Z160" s="58">
        <f t="shared" ref="Z160:AF160" si="149">AVERAGE(D160,D166)-AVERAGE(D$160,D$166)</f>
        <v>0</v>
      </c>
      <c r="AA160" s="58">
        <f t="shared" si="149"/>
        <v>0</v>
      </c>
      <c r="AB160" s="58">
        <f t="shared" si="149"/>
        <v>0</v>
      </c>
      <c r="AC160" s="58">
        <f t="shared" si="149"/>
        <v>0</v>
      </c>
      <c r="AD160" s="58">
        <f t="shared" si="149"/>
        <v>0</v>
      </c>
      <c r="AE160" s="58">
        <f t="shared" si="149"/>
        <v>0</v>
      </c>
      <c r="AF160" s="58">
        <f t="shared" si="149"/>
        <v>0</v>
      </c>
    </row>
    <row r="161" spans="1:32" s="9" customFormat="1">
      <c r="A161" s="84">
        <v>19.75</v>
      </c>
      <c r="C161" s="58">
        <f>F161</f>
        <v>2.2050000000000001</v>
      </c>
      <c r="D161" s="58">
        <f>I161</f>
        <v>2.2050000000000001</v>
      </c>
      <c r="E161" s="58">
        <v>2.2048999999999999</v>
      </c>
      <c r="F161" s="58">
        <v>2.2050000000000001</v>
      </c>
      <c r="G161" s="58">
        <v>2.2050000000000001</v>
      </c>
      <c r="H161" s="58">
        <v>2.2050000000000001</v>
      </c>
      <c r="I161" s="58">
        <v>2.2050000000000001</v>
      </c>
      <c r="J161" s="58">
        <v>2.2050999999999998</v>
      </c>
      <c r="K161" s="58">
        <f t="shared" si="144"/>
        <v>2.2048999999999999</v>
      </c>
      <c r="L161" s="58">
        <f t="shared" si="145"/>
        <v>2.2050999999999998</v>
      </c>
      <c r="M161" s="58">
        <f t="shared" si="146"/>
        <v>2.2050000000000001</v>
      </c>
      <c r="N161" s="58">
        <f t="shared" si="147"/>
        <v>-1.0000000000021103E-4</v>
      </c>
      <c r="O161" s="58">
        <f t="shared" si="148"/>
        <v>9.9999999999766942E-5</v>
      </c>
      <c r="P161" s="58"/>
      <c r="Q161" s="84">
        <v>19.75</v>
      </c>
      <c r="R161" s="84">
        <v>19.75</v>
      </c>
      <c r="S161" s="84">
        <v>19.75</v>
      </c>
      <c r="T161" s="84">
        <v>19.75</v>
      </c>
      <c r="U161" s="84">
        <v>19.75</v>
      </c>
      <c r="V161" s="84">
        <v>19.75</v>
      </c>
      <c r="W161" s="84">
        <v>19.75</v>
      </c>
      <c r="X161" s="84">
        <v>19.75</v>
      </c>
      <c r="Y161" s="58">
        <f>AVERAGE(C161,C165)-AVERAGE(C$160,C$166)</f>
        <v>3.9999999999995595E-4</v>
      </c>
      <c r="Z161" s="58">
        <f t="shared" ref="Z161:AF161" si="150">AVERAGE(D161,D165)-AVERAGE(D$160,D$166)</f>
        <v>1.4999999999965041E-4</v>
      </c>
      <c r="AA161" s="58">
        <f t="shared" si="150"/>
        <v>2.4999999999986144E-4</v>
      </c>
      <c r="AB161" s="58">
        <f t="shared" si="150"/>
        <v>3.5000000000007248E-4</v>
      </c>
      <c r="AC161" s="58">
        <f t="shared" si="150"/>
        <v>1.4999999999965041E-4</v>
      </c>
      <c r="AD161" s="58">
        <f t="shared" si="150"/>
        <v>1.4999999999965041E-4</v>
      </c>
      <c r="AE161" s="58">
        <f t="shared" si="150"/>
        <v>1.9999999999997797E-4</v>
      </c>
      <c r="AF161" s="58">
        <f t="shared" si="150"/>
        <v>2.2499999999991971E-4</v>
      </c>
    </row>
    <row r="162" spans="1:32" s="9" customFormat="1">
      <c r="A162" s="84">
        <v>45</v>
      </c>
      <c r="C162" s="58">
        <f>F162</f>
        <v>2.2053500000000001</v>
      </c>
      <c r="D162" s="58">
        <f>F162</f>
        <v>2.2053500000000001</v>
      </c>
      <c r="E162" s="58">
        <v>2.2052</v>
      </c>
      <c r="F162" s="58">
        <v>2.2053500000000001</v>
      </c>
      <c r="G162" s="58">
        <v>2.2050000000000001</v>
      </c>
      <c r="H162" s="58">
        <v>2.2049500000000002</v>
      </c>
      <c r="I162" s="58">
        <v>2.2052</v>
      </c>
      <c r="J162" s="58">
        <v>2.2050999999999998</v>
      </c>
      <c r="K162" s="58">
        <f t="shared" si="144"/>
        <v>2.2049500000000002</v>
      </c>
      <c r="L162" s="58">
        <f t="shared" si="145"/>
        <v>2.2053500000000001</v>
      </c>
      <c r="M162" s="58">
        <f t="shared" si="146"/>
        <v>2.2053500000000001</v>
      </c>
      <c r="N162" s="58">
        <f t="shared" si="147"/>
        <v>-3.9999999999995595E-4</v>
      </c>
      <c r="O162" s="58">
        <f t="shared" si="148"/>
        <v>0</v>
      </c>
      <c r="P162" s="58"/>
      <c r="Q162" s="84">
        <v>45</v>
      </c>
      <c r="R162" s="84">
        <v>45</v>
      </c>
      <c r="S162" s="84">
        <v>45</v>
      </c>
      <c r="T162" s="84">
        <v>45</v>
      </c>
      <c r="U162" s="84">
        <v>45</v>
      </c>
      <c r="V162" s="84">
        <v>45</v>
      </c>
      <c r="W162" s="84">
        <v>45</v>
      </c>
      <c r="X162" s="84">
        <v>45</v>
      </c>
      <c r="Y162" s="58">
        <f>AVERAGE(C162,C164)-AVERAGE(C$160,C$166)</f>
        <v>6.7500000000020322E-4</v>
      </c>
      <c r="Z162" s="58">
        <f t="shared" ref="Z162:AF162" si="151">AVERAGE(D162,D164)-AVERAGE(D$160,D$166)</f>
        <v>4.2499999999989768E-4</v>
      </c>
      <c r="AA162" s="58">
        <f t="shared" si="151"/>
        <v>5.7499999999999218E-4</v>
      </c>
      <c r="AB162" s="58">
        <f t="shared" si="151"/>
        <v>6.2500000000031974E-4</v>
      </c>
      <c r="AC162" s="58">
        <f t="shared" si="151"/>
        <v>1.9999999999953388E-4</v>
      </c>
      <c r="AD162" s="58">
        <f t="shared" si="151"/>
        <v>2.2499999999947562E-4</v>
      </c>
      <c r="AE162" s="58">
        <f t="shared" si="151"/>
        <v>3.9999999999995595E-4</v>
      </c>
      <c r="AF162" s="58">
        <f t="shared" si="151"/>
        <v>3.2499999999968665E-4</v>
      </c>
    </row>
    <row r="163" spans="1:32" s="9" customFormat="1">
      <c r="A163" s="84">
        <v>90</v>
      </c>
      <c r="C163" s="58">
        <f>I163</f>
        <v>2.2054</v>
      </c>
      <c r="D163" s="58">
        <f>G163</f>
        <v>2.2052</v>
      </c>
      <c r="E163" s="58">
        <v>2.2053500000000001</v>
      </c>
      <c r="F163" s="58">
        <v>2.2054999999999998</v>
      </c>
      <c r="G163" s="58">
        <v>2.2052</v>
      </c>
      <c r="H163" s="58">
        <v>2.2052</v>
      </c>
      <c r="I163" s="58">
        <v>2.2054</v>
      </c>
      <c r="J163" s="58">
        <v>2.2052</v>
      </c>
      <c r="K163" s="58">
        <f t="shared" si="144"/>
        <v>2.2052</v>
      </c>
      <c r="L163" s="58">
        <f t="shared" si="145"/>
        <v>2.2054999999999998</v>
      </c>
      <c r="M163" s="58">
        <f t="shared" si="146"/>
        <v>2.2052</v>
      </c>
      <c r="N163" s="58">
        <f t="shared" si="147"/>
        <v>0</v>
      </c>
      <c r="O163" s="58">
        <f t="shared" si="148"/>
        <v>2.9999999999974492E-4</v>
      </c>
      <c r="P163" s="58"/>
      <c r="Q163" s="84">
        <v>90</v>
      </c>
      <c r="R163" s="84">
        <v>90</v>
      </c>
      <c r="S163" s="84">
        <v>90</v>
      </c>
      <c r="T163" s="84">
        <v>90</v>
      </c>
      <c r="U163" s="84">
        <v>90</v>
      </c>
      <c r="V163" s="84">
        <v>90</v>
      </c>
      <c r="W163" s="84">
        <v>90</v>
      </c>
      <c r="X163" s="84">
        <v>90</v>
      </c>
      <c r="Y163" s="58">
        <f>C163-AVERAGE(C$160,C$166)</f>
        <v>7.9999999999991189E-4</v>
      </c>
      <c r="Z163" s="58">
        <f t="shared" ref="Z163:AF163" si="152">D163-AVERAGE(D$160,D$166)</f>
        <v>3.4999999999962839E-4</v>
      </c>
      <c r="AA163" s="58">
        <f t="shared" si="152"/>
        <v>7.5000000000002842E-4</v>
      </c>
      <c r="AB163" s="58">
        <f t="shared" si="152"/>
        <v>8.4999999999979536E-4</v>
      </c>
      <c r="AC163" s="58">
        <f t="shared" si="152"/>
        <v>2.9999999999974492E-4</v>
      </c>
      <c r="AD163" s="58">
        <f t="shared" si="152"/>
        <v>3.4999999999962839E-4</v>
      </c>
      <c r="AE163" s="58">
        <f t="shared" si="152"/>
        <v>5.9999999999993392E-4</v>
      </c>
      <c r="AF163" s="58">
        <f t="shared" si="152"/>
        <v>3.7500000000001421E-4</v>
      </c>
    </row>
    <row r="164" spans="1:32" s="9" customFormat="1">
      <c r="A164" s="84">
        <v>135</v>
      </c>
      <c r="C164" s="58">
        <f>J164</f>
        <v>2.2052</v>
      </c>
      <c r="D164" s="58">
        <f>I164</f>
        <v>2.2052</v>
      </c>
      <c r="E164" s="58">
        <v>2.2051500000000002</v>
      </c>
      <c r="F164" s="58">
        <v>2.2052</v>
      </c>
      <c r="G164" s="58">
        <v>2.2052</v>
      </c>
      <c r="H164" s="58">
        <v>2.2052</v>
      </c>
      <c r="I164" s="58">
        <v>2.2052</v>
      </c>
      <c r="J164" s="58">
        <v>2.2052</v>
      </c>
      <c r="K164" s="58">
        <f t="shared" si="144"/>
        <v>2.2051500000000002</v>
      </c>
      <c r="L164" s="58">
        <f t="shared" si="145"/>
        <v>2.2052</v>
      </c>
      <c r="M164" s="58">
        <f t="shared" si="146"/>
        <v>2.2052</v>
      </c>
      <c r="N164" s="58">
        <f t="shared" si="147"/>
        <v>-4.9999999999883471E-5</v>
      </c>
      <c r="O164" s="58">
        <f t="shared" si="148"/>
        <v>0</v>
      </c>
      <c r="P164" s="58"/>
      <c r="Q164" s="84">
        <v>135</v>
      </c>
      <c r="R164" s="84">
        <v>135</v>
      </c>
      <c r="S164" s="84">
        <v>135</v>
      </c>
      <c r="T164" s="84">
        <v>135</v>
      </c>
      <c r="U164" s="84">
        <v>135</v>
      </c>
      <c r="V164" s="84">
        <v>135</v>
      </c>
      <c r="W164" s="84">
        <v>135</v>
      </c>
      <c r="X164" s="84">
        <v>135</v>
      </c>
      <c r="Y164" s="58">
        <f>AVERAGE(C162,C164)-AVERAGE(C$160,C$166)</f>
        <v>6.7500000000020322E-4</v>
      </c>
      <c r="Z164" s="58">
        <f t="shared" ref="Z164:AF164" si="153">AVERAGE(D162,D164)-AVERAGE(D$160,D$166)</f>
        <v>4.2499999999989768E-4</v>
      </c>
      <c r="AA164" s="58">
        <f t="shared" si="153"/>
        <v>5.7499999999999218E-4</v>
      </c>
      <c r="AB164" s="58">
        <f t="shared" si="153"/>
        <v>6.2500000000031974E-4</v>
      </c>
      <c r="AC164" s="58">
        <f t="shared" si="153"/>
        <v>1.9999999999953388E-4</v>
      </c>
      <c r="AD164" s="58">
        <f t="shared" si="153"/>
        <v>2.2499999999947562E-4</v>
      </c>
      <c r="AE164" s="58">
        <f t="shared" si="153"/>
        <v>3.9999999999995595E-4</v>
      </c>
      <c r="AF164" s="58">
        <f t="shared" si="153"/>
        <v>3.2499999999968665E-4</v>
      </c>
    </row>
    <row r="165" spans="1:32" s="9" customFormat="1">
      <c r="A165" s="84">
        <v>160.25</v>
      </c>
      <c r="C165" s="58">
        <f>H165</f>
        <v>2.2050000000000001</v>
      </c>
      <c r="D165" s="58">
        <f>I165</f>
        <v>2.2050000000000001</v>
      </c>
      <c r="E165" s="58">
        <v>2.2048000000000001</v>
      </c>
      <c r="F165" s="58">
        <v>2.2050000000000001</v>
      </c>
      <c r="G165" s="58">
        <v>2.2050999999999998</v>
      </c>
      <c r="H165" s="58">
        <v>2.2050000000000001</v>
      </c>
      <c r="I165" s="58">
        <v>2.2050000000000001</v>
      </c>
      <c r="J165" s="58">
        <v>2.2050000000000001</v>
      </c>
      <c r="K165" s="58">
        <f t="shared" si="144"/>
        <v>2.2048000000000001</v>
      </c>
      <c r="L165" s="58">
        <f t="shared" si="145"/>
        <v>2.2050999999999998</v>
      </c>
      <c r="M165" s="58">
        <f t="shared" si="146"/>
        <v>2.2050000000000001</v>
      </c>
      <c r="N165" s="58">
        <f t="shared" si="147"/>
        <v>-1.9999999999997797E-4</v>
      </c>
      <c r="O165" s="58">
        <f t="shared" si="148"/>
        <v>9.9999999999766942E-5</v>
      </c>
      <c r="P165" s="58"/>
      <c r="Q165" s="84">
        <v>160.25</v>
      </c>
      <c r="R165" s="84">
        <v>160.25</v>
      </c>
      <c r="S165" s="84">
        <v>160.25</v>
      </c>
      <c r="T165" s="84">
        <v>160.25</v>
      </c>
      <c r="U165" s="84">
        <v>160.25</v>
      </c>
      <c r="V165" s="84">
        <v>160.25</v>
      </c>
      <c r="W165" s="84">
        <v>160.25</v>
      </c>
      <c r="X165" s="84">
        <v>160.25</v>
      </c>
      <c r="Y165" s="58">
        <f>AVERAGE(C161,C165)-AVERAGE(C$160,C$166)</f>
        <v>3.9999999999995595E-4</v>
      </c>
      <c r="Z165" s="58">
        <f t="shared" ref="Z165:AF165" si="154">AVERAGE(D161,D165)-AVERAGE(D$160,D$166)</f>
        <v>1.4999999999965041E-4</v>
      </c>
      <c r="AA165" s="58">
        <f t="shared" si="154"/>
        <v>2.4999999999986144E-4</v>
      </c>
      <c r="AB165" s="58">
        <f t="shared" si="154"/>
        <v>3.5000000000007248E-4</v>
      </c>
      <c r="AC165" s="58">
        <f t="shared" si="154"/>
        <v>1.4999999999965041E-4</v>
      </c>
      <c r="AD165" s="58">
        <f t="shared" si="154"/>
        <v>1.4999999999965041E-4</v>
      </c>
      <c r="AE165" s="58">
        <f t="shared" si="154"/>
        <v>1.9999999999997797E-4</v>
      </c>
      <c r="AF165" s="58">
        <f t="shared" si="154"/>
        <v>2.2499999999991971E-4</v>
      </c>
    </row>
    <row r="166" spans="1:32" s="9" customFormat="1">
      <c r="A166" s="84">
        <v>175</v>
      </c>
      <c r="C166" s="58">
        <f>F166</f>
        <v>2.2046000000000001</v>
      </c>
      <c r="D166" s="58">
        <f>H166</f>
        <v>2.2049500000000002</v>
      </c>
      <c r="E166" s="58">
        <v>2.2046000000000001</v>
      </c>
      <c r="F166" s="58">
        <v>2.2046000000000001</v>
      </c>
      <c r="G166" s="58">
        <v>2.2050000000000001</v>
      </c>
      <c r="H166" s="58">
        <v>2.2049500000000002</v>
      </c>
      <c r="I166" s="58">
        <v>2.2048000000000001</v>
      </c>
      <c r="J166" s="58">
        <v>2.2048999999999999</v>
      </c>
      <c r="K166" s="58">
        <f t="shared" si="144"/>
        <v>2.2046000000000001</v>
      </c>
      <c r="L166" s="58">
        <f t="shared" si="145"/>
        <v>2.2050000000000001</v>
      </c>
      <c r="M166" s="58">
        <f t="shared" si="146"/>
        <v>2.2046000000000001</v>
      </c>
      <c r="N166" s="58">
        <f t="shared" si="147"/>
        <v>0</v>
      </c>
      <c r="O166" s="58">
        <f t="shared" si="148"/>
        <v>3.9999999999995595E-4</v>
      </c>
      <c r="P166" s="58"/>
      <c r="Q166" s="84">
        <v>175</v>
      </c>
      <c r="R166" s="84">
        <v>175</v>
      </c>
      <c r="S166" s="84">
        <v>175</v>
      </c>
      <c r="T166" s="84">
        <v>175</v>
      </c>
      <c r="U166" s="84">
        <v>175</v>
      </c>
      <c r="V166" s="84">
        <v>175</v>
      </c>
      <c r="W166" s="84">
        <v>175</v>
      </c>
      <c r="X166" s="84">
        <v>175</v>
      </c>
      <c r="Y166" s="58">
        <f>AVERAGE(C160,C166)-AVERAGE(C$160,C$166)</f>
        <v>0</v>
      </c>
      <c r="Z166" s="58">
        <f t="shared" ref="Z166:AF166" si="155">AVERAGE(D160,D166)-AVERAGE(D$160,D$166)</f>
        <v>0</v>
      </c>
      <c r="AA166" s="58">
        <f t="shared" si="155"/>
        <v>0</v>
      </c>
      <c r="AB166" s="58">
        <f t="shared" si="155"/>
        <v>0</v>
      </c>
      <c r="AC166" s="58">
        <f t="shared" si="155"/>
        <v>0</v>
      </c>
      <c r="AD166" s="58">
        <f t="shared" si="155"/>
        <v>0</v>
      </c>
      <c r="AE166" s="58">
        <f t="shared" si="155"/>
        <v>0</v>
      </c>
      <c r="AF166" s="58">
        <f t="shared" si="155"/>
        <v>0</v>
      </c>
    </row>
  </sheetData>
  <mergeCells count="11">
    <mergeCell ref="Y143:AF143"/>
    <mergeCell ref="Y158:AF158"/>
    <mergeCell ref="Y2:AF2"/>
    <mergeCell ref="Y17:AF17"/>
    <mergeCell ref="Y98:AF98"/>
    <mergeCell ref="Y114:AF114"/>
    <mergeCell ref="Y128:AF128"/>
    <mergeCell ref="Y32:AF32"/>
    <mergeCell ref="Y47:AF47"/>
    <mergeCell ref="Y64:AF64"/>
    <mergeCell ref="Y82:AF8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G54"/>
  <sheetViews>
    <sheetView topLeftCell="E1" workbookViewId="0">
      <selection activeCell="A54" sqref="A54:XFD65"/>
    </sheetView>
  </sheetViews>
  <sheetFormatPr defaultRowHeight="15"/>
  <cols>
    <col min="1" max="16384" width="9.140625" style="9"/>
  </cols>
  <sheetData>
    <row r="1" spans="1:33">
      <c r="A1" s="9" t="s">
        <v>421</v>
      </c>
      <c r="C1" s="83"/>
      <c r="D1" s="83"/>
      <c r="E1" s="83"/>
      <c r="F1" s="83"/>
      <c r="G1" s="83"/>
      <c r="H1" s="83"/>
      <c r="I1" s="83"/>
      <c r="J1" s="83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3">
      <c r="A2" s="58"/>
      <c r="B2" s="9" t="s">
        <v>241</v>
      </c>
      <c r="C2" s="58">
        <v>72.900000000000006</v>
      </c>
      <c r="D2" s="58">
        <v>72.400000000000006</v>
      </c>
      <c r="E2" s="58">
        <v>71.7</v>
      </c>
      <c r="F2" s="58">
        <v>72.099999999999994</v>
      </c>
      <c r="G2" s="58">
        <v>73.099999999999994</v>
      </c>
      <c r="H2" s="58">
        <v>72.7</v>
      </c>
      <c r="I2" s="58">
        <v>71.900000000000006</v>
      </c>
      <c r="J2" s="58">
        <v>72.099999999999994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Y2" s="101" t="s">
        <v>270</v>
      </c>
      <c r="Z2" s="101"/>
      <c r="AA2" s="101"/>
      <c r="AB2" s="101"/>
      <c r="AC2" s="101"/>
      <c r="AD2" s="101"/>
      <c r="AE2" s="101"/>
      <c r="AF2" s="101"/>
    </row>
    <row r="3" spans="1:33">
      <c r="A3" s="58"/>
      <c r="B3" s="9" t="s">
        <v>364</v>
      </c>
      <c r="C3" s="83" t="s">
        <v>175</v>
      </c>
      <c r="D3" s="83" t="s">
        <v>176</v>
      </c>
      <c r="E3" s="83" t="s">
        <v>177</v>
      </c>
      <c r="F3" s="83" t="s">
        <v>178</v>
      </c>
      <c r="G3" s="83" t="s">
        <v>179</v>
      </c>
      <c r="H3" s="83" t="s">
        <v>180</v>
      </c>
      <c r="I3" s="83" t="s">
        <v>181</v>
      </c>
      <c r="J3" s="83" t="s">
        <v>182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P3" s="53"/>
      <c r="Q3" s="53"/>
      <c r="R3" s="53"/>
      <c r="S3" s="53"/>
      <c r="T3" s="53"/>
      <c r="U3" s="53"/>
      <c r="Y3" s="88" t="s">
        <v>175</v>
      </c>
      <c r="Z3" s="88" t="s">
        <v>176</v>
      </c>
      <c r="AA3" s="88" t="s">
        <v>177</v>
      </c>
      <c r="AB3" s="88" t="s">
        <v>178</v>
      </c>
      <c r="AC3" s="88" t="s">
        <v>179</v>
      </c>
      <c r="AD3" s="88" t="s">
        <v>180</v>
      </c>
      <c r="AE3" s="88" t="s">
        <v>181</v>
      </c>
      <c r="AF3" s="88" t="s">
        <v>182</v>
      </c>
      <c r="AG3" s="88" t="s">
        <v>366</v>
      </c>
    </row>
    <row r="4" spans="1:33">
      <c r="A4" s="84"/>
      <c r="B4" s="84">
        <v>5</v>
      </c>
      <c r="C4" s="58">
        <v>2.2046999999999999</v>
      </c>
      <c r="D4" s="58">
        <v>2.2048000000000001</v>
      </c>
      <c r="E4" s="58">
        <v>2.2048000000000001</v>
      </c>
      <c r="F4" s="58">
        <v>2.2048000000000001</v>
      </c>
      <c r="G4" s="58">
        <v>2.2047500000000002</v>
      </c>
      <c r="H4" s="58">
        <v>2.2050000000000001</v>
      </c>
      <c r="I4" s="58">
        <v>2.2048000000000001</v>
      </c>
      <c r="J4" s="58">
        <v>2.2046999999999999</v>
      </c>
      <c r="K4" s="58">
        <f t="shared" ref="K4:K10" si="0">MIN(C4:J4)</f>
        <v>2.2046999999999999</v>
      </c>
      <c r="L4" s="58">
        <f t="shared" ref="L4:L10" si="1">MAX(C4:J4)</f>
        <v>2.2050000000000001</v>
      </c>
      <c r="M4" s="58">
        <f t="shared" ref="M4:M10" si="2">MODE(C4:J4)</f>
        <v>2.2048000000000001</v>
      </c>
      <c r="N4" s="58">
        <f t="shared" ref="N4:N10" si="3">K4-M4</f>
        <v>-1.0000000000021103E-4</v>
      </c>
      <c r="O4" s="58">
        <f t="shared" ref="O4:O10" si="4">L4-M4</f>
        <v>1.9999999999997797E-4</v>
      </c>
      <c r="P4" s="58"/>
      <c r="Q4" s="84">
        <v>5</v>
      </c>
      <c r="R4" s="84">
        <v>5</v>
      </c>
      <c r="S4" s="84">
        <v>5</v>
      </c>
      <c r="T4" s="84">
        <v>5</v>
      </c>
      <c r="U4" s="84">
        <v>5</v>
      </c>
      <c r="V4" s="84">
        <v>5</v>
      </c>
      <c r="W4" s="84">
        <v>5</v>
      </c>
      <c r="X4" s="84">
        <v>5</v>
      </c>
      <c r="Y4" s="58">
        <f>AVERAGE(C4,C10)-AVERAGE(C$4,C$10)</f>
        <v>0</v>
      </c>
      <c r="Z4" s="58">
        <f t="shared" ref="Z4:AF4" si="5">AVERAGE(D4,D10)-AVERAGE(D$4,D$10)</f>
        <v>0</v>
      </c>
      <c r="AA4" s="58">
        <f t="shared" si="5"/>
        <v>0</v>
      </c>
      <c r="AB4" s="58">
        <f t="shared" si="5"/>
        <v>0</v>
      </c>
      <c r="AC4" s="58">
        <f t="shared" si="5"/>
        <v>0</v>
      </c>
      <c r="AD4" s="58">
        <f t="shared" si="5"/>
        <v>0</v>
      </c>
      <c r="AE4" s="58">
        <f t="shared" si="5"/>
        <v>0</v>
      </c>
      <c r="AF4" s="58">
        <f t="shared" si="5"/>
        <v>0</v>
      </c>
      <c r="AG4" s="58">
        <f>AVERAGE(Y4:AF4)</f>
        <v>0</v>
      </c>
    </row>
    <row r="5" spans="1:33">
      <c r="A5" s="84"/>
      <c r="B5" s="84">
        <v>19.75</v>
      </c>
      <c r="C5" s="58">
        <v>2.2046999999999999</v>
      </c>
      <c r="D5" s="58">
        <v>2.2048000000000001</v>
      </c>
      <c r="E5" s="58">
        <v>2.2046999999999999</v>
      </c>
      <c r="F5" s="58">
        <v>2.2048000000000001</v>
      </c>
      <c r="G5" s="58">
        <v>2.2047500000000002</v>
      </c>
      <c r="H5" s="58">
        <v>2.2048000000000001</v>
      </c>
      <c r="I5" s="58">
        <v>2.2048000000000001</v>
      </c>
      <c r="J5" s="58">
        <v>2.2048000000000001</v>
      </c>
      <c r="K5" s="58">
        <f t="shared" si="0"/>
        <v>2.2046999999999999</v>
      </c>
      <c r="L5" s="58">
        <f t="shared" si="1"/>
        <v>2.2048000000000001</v>
      </c>
      <c r="M5" s="58">
        <f t="shared" si="2"/>
        <v>2.2048000000000001</v>
      </c>
      <c r="N5" s="58">
        <f t="shared" si="3"/>
        <v>-1.0000000000021103E-4</v>
      </c>
      <c r="O5" s="58">
        <f t="shared" si="4"/>
        <v>0</v>
      </c>
      <c r="P5" s="58"/>
      <c r="Q5" s="84">
        <v>19.75</v>
      </c>
      <c r="R5" s="84">
        <v>19.75</v>
      </c>
      <c r="S5" s="84">
        <v>19.75</v>
      </c>
      <c r="T5" s="84">
        <v>19.75</v>
      </c>
      <c r="U5" s="84">
        <v>19.75</v>
      </c>
      <c r="V5" s="84">
        <v>19.75</v>
      </c>
      <c r="W5" s="84">
        <v>19.75</v>
      </c>
      <c r="X5" s="84">
        <v>19.75</v>
      </c>
      <c r="Y5" s="58">
        <f>AVERAGE(C5,C9)-AVERAGE(C$4,C$10)</f>
        <v>-4.9999999999883471E-5</v>
      </c>
      <c r="Z5" s="58">
        <f t="shared" ref="Z5:AF5" si="6">AVERAGE(D5,D9)-AVERAGE(D$4,D$10)</f>
        <v>-1.0000000000021103E-4</v>
      </c>
      <c r="AA5" s="58">
        <f t="shared" si="6"/>
        <v>-5.000000000032756E-5</v>
      </c>
      <c r="AB5" s="58">
        <f t="shared" si="6"/>
        <v>-5.000000000032756E-5</v>
      </c>
      <c r="AC5" s="58">
        <f t="shared" si="6"/>
        <v>2.5000000000385825E-5</v>
      </c>
      <c r="AD5" s="58">
        <f t="shared" si="6"/>
        <v>-1.0000000000021103E-4</v>
      </c>
      <c r="AE5" s="58">
        <f t="shared" si="6"/>
        <v>-5.000000000032756E-5</v>
      </c>
      <c r="AF5" s="58">
        <f t="shared" si="6"/>
        <v>4.9999999999883471E-5</v>
      </c>
      <c r="AG5" s="58">
        <f t="shared" ref="AG5:AG10" si="7">AVERAGE(Y5:AF5)</f>
        <v>-4.0625000000127365E-5</v>
      </c>
    </row>
    <row r="6" spans="1:33">
      <c r="A6" s="84"/>
      <c r="B6" s="84">
        <v>45</v>
      </c>
      <c r="C6" s="58">
        <v>2.2046000000000001</v>
      </c>
      <c r="D6" s="58">
        <v>2.2048000000000001</v>
      </c>
      <c r="E6" s="58">
        <v>2.20465</v>
      </c>
      <c r="F6" s="58">
        <v>2.2046999999999999</v>
      </c>
      <c r="G6" s="58">
        <v>2.2046000000000001</v>
      </c>
      <c r="H6" s="58">
        <v>2.20465</v>
      </c>
      <c r="I6" s="58">
        <v>2.2046999999999999</v>
      </c>
      <c r="J6" s="58">
        <v>2.2046999999999999</v>
      </c>
      <c r="K6" s="58">
        <f t="shared" si="0"/>
        <v>2.2046000000000001</v>
      </c>
      <c r="L6" s="58">
        <f t="shared" si="1"/>
        <v>2.2048000000000001</v>
      </c>
      <c r="M6" s="58">
        <f t="shared" si="2"/>
        <v>2.2046999999999999</v>
      </c>
      <c r="N6" s="58">
        <f t="shared" si="3"/>
        <v>-9.9999999999766942E-5</v>
      </c>
      <c r="O6" s="58">
        <f t="shared" si="4"/>
        <v>1.0000000000021103E-4</v>
      </c>
      <c r="P6" s="58"/>
      <c r="Q6" s="84">
        <v>45</v>
      </c>
      <c r="R6" s="84">
        <v>45</v>
      </c>
      <c r="S6" s="84">
        <v>45</v>
      </c>
      <c r="T6" s="84">
        <v>45</v>
      </c>
      <c r="U6" s="84">
        <v>45</v>
      </c>
      <c r="V6" s="84">
        <v>45</v>
      </c>
      <c r="W6" s="84">
        <v>45</v>
      </c>
      <c r="X6" s="84">
        <v>45</v>
      </c>
      <c r="Y6" s="58">
        <f>AVERAGE(C6,C8)-AVERAGE(C$4,C$10)</f>
        <v>-1.9999999999953388E-4</v>
      </c>
      <c r="Z6" s="58">
        <f t="shared" ref="Z6:AF6" si="8">AVERAGE(D6,D8)-AVERAGE(D$4,D$10)</f>
        <v>-1.500000000000945E-4</v>
      </c>
      <c r="AA6" s="58">
        <f t="shared" si="8"/>
        <v>-1.7500000000003624E-4</v>
      </c>
      <c r="AB6" s="58">
        <f t="shared" si="8"/>
        <v>-1.2500000000015277E-4</v>
      </c>
      <c r="AC6" s="58">
        <f t="shared" si="8"/>
        <v>-1.2499999999970868E-4</v>
      </c>
      <c r="AD6" s="58">
        <f t="shared" si="8"/>
        <v>-2.7500000000024727E-4</v>
      </c>
      <c r="AE6" s="58">
        <f t="shared" si="8"/>
        <v>-1.2500000000015277E-4</v>
      </c>
      <c r="AF6" s="58">
        <f t="shared" si="8"/>
        <v>-4.9999999999883471E-5</v>
      </c>
      <c r="AG6" s="58">
        <f t="shared" si="7"/>
        <v>-1.531249999999762E-4</v>
      </c>
    </row>
    <row r="7" spans="1:33">
      <c r="A7" s="84"/>
      <c r="B7" s="84">
        <v>90</v>
      </c>
      <c r="C7" s="58">
        <v>2.2044000000000001</v>
      </c>
      <c r="D7" s="58">
        <v>2.2046000000000001</v>
      </c>
      <c r="E7" s="58">
        <v>2.2044999999999999</v>
      </c>
      <c r="F7" s="58">
        <v>2.2046000000000001</v>
      </c>
      <c r="G7" s="58">
        <v>2.2046000000000001</v>
      </c>
      <c r="H7" s="58">
        <v>2.2044000000000001</v>
      </c>
      <c r="I7" s="58">
        <v>2.20465</v>
      </c>
      <c r="J7" s="58">
        <v>2.20465</v>
      </c>
      <c r="K7" s="58">
        <f t="shared" si="0"/>
        <v>2.2044000000000001</v>
      </c>
      <c r="L7" s="58">
        <f t="shared" si="1"/>
        <v>2.20465</v>
      </c>
      <c r="M7" s="58">
        <f t="shared" si="2"/>
        <v>2.2046000000000001</v>
      </c>
      <c r="N7" s="58">
        <f t="shared" si="3"/>
        <v>-1.9999999999997797E-4</v>
      </c>
      <c r="O7" s="58">
        <f t="shared" si="4"/>
        <v>4.9999999999883471E-5</v>
      </c>
      <c r="P7" s="58"/>
      <c r="Q7" s="84">
        <v>90</v>
      </c>
      <c r="R7" s="84">
        <v>90</v>
      </c>
      <c r="S7" s="84">
        <v>90</v>
      </c>
      <c r="T7" s="84">
        <v>90</v>
      </c>
      <c r="U7" s="84">
        <v>90</v>
      </c>
      <c r="V7" s="84">
        <v>90</v>
      </c>
      <c r="W7" s="84">
        <v>90</v>
      </c>
      <c r="X7" s="84">
        <v>90</v>
      </c>
      <c r="Y7" s="58">
        <f>C7-AVERAGE(C$4,C$10)</f>
        <v>-2.9999999999974492E-4</v>
      </c>
      <c r="Z7" s="58">
        <f t="shared" ref="Z7:AF7" si="9">D7-AVERAGE(D$4,D$10)</f>
        <v>-1.9999999999997797E-4</v>
      </c>
      <c r="AA7" s="58">
        <f t="shared" si="9"/>
        <v>-3.00000000000189E-4</v>
      </c>
      <c r="AB7" s="58">
        <f t="shared" si="9"/>
        <v>-1.7500000000003624E-4</v>
      </c>
      <c r="AC7" s="58">
        <f t="shared" si="9"/>
        <v>-1.2499999999970868E-4</v>
      </c>
      <c r="AD7" s="58">
        <f t="shared" si="9"/>
        <v>-5.0000000000016698E-4</v>
      </c>
      <c r="AE7" s="58">
        <f t="shared" si="9"/>
        <v>-1.500000000000945E-4</v>
      </c>
      <c r="AF7" s="58">
        <f t="shared" si="9"/>
        <v>-4.9999999999883471E-5</v>
      </c>
      <c r="AG7" s="58">
        <f t="shared" si="7"/>
        <v>-2.2499999999997522E-4</v>
      </c>
    </row>
    <row r="8" spans="1:33">
      <c r="A8" s="84"/>
      <c r="B8" s="84">
        <v>135</v>
      </c>
      <c r="C8" s="58">
        <v>2.2044000000000001</v>
      </c>
      <c r="D8" s="58">
        <v>2.2044999999999999</v>
      </c>
      <c r="E8" s="58">
        <v>2.2046000000000001</v>
      </c>
      <c r="F8" s="58">
        <v>2.2046000000000001</v>
      </c>
      <c r="G8" s="58">
        <v>2.2046000000000001</v>
      </c>
      <c r="H8" s="58">
        <v>2.2046000000000001</v>
      </c>
      <c r="I8" s="58">
        <v>2.20465</v>
      </c>
      <c r="J8" s="58">
        <v>2.2046000000000001</v>
      </c>
      <c r="K8" s="58">
        <f t="shared" si="0"/>
        <v>2.2044000000000001</v>
      </c>
      <c r="L8" s="58">
        <f t="shared" si="1"/>
        <v>2.20465</v>
      </c>
      <c r="M8" s="58">
        <f t="shared" si="2"/>
        <v>2.2046000000000001</v>
      </c>
      <c r="N8" s="58">
        <f t="shared" si="3"/>
        <v>-1.9999999999997797E-4</v>
      </c>
      <c r="O8" s="58">
        <f t="shared" si="4"/>
        <v>4.9999999999883471E-5</v>
      </c>
      <c r="P8" s="58"/>
      <c r="Q8" s="84">
        <v>135</v>
      </c>
      <c r="R8" s="84">
        <v>135</v>
      </c>
      <c r="S8" s="84">
        <v>135</v>
      </c>
      <c r="T8" s="84">
        <v>135</v>
      </c>
      <c r="U8" s="84">
        <v>135</v>
      </c>
      <c r="V8" s="84">
        <v>135</v>
      </c>
      <c r="W8" s="84">
        <v>135</v>
      </c>
      <c r="X8" s="84">
        <v>135</v>
      </c>
      <c r="Y8" s="58">
        <f>AVERAGE(C6,C8)-AVERAGE(C$4,C$10)</f>
        <v>-1.9999999999953388E-4</v>
      </c>
      <c r="Z8" s="58">
        <f t="shared" ref="Z8:AF8" si="10">AVERAGE(D6,D8)-AVERAGE(D$4,D$10)</f>
        <v>-1.500000000000945E-4</v>
      </c>
      <c r="AA8" s="58">
        <f t="shared" si="10"/>
        <v>-1.7500000000003624E-4</v>
      </c>
      <c r="AB8" s="58">
        <f t="shared" si="10"/>
        <v>-1.2500000000015277E-4</v>
      </c>
      <c r="AC8" s="58">
        <f t="shared" si="10"/>
        <v>-1.2499999999970868E-4</v>
      </c>
      <c r="AD8" s="58">
        <f t="shared" si="10"/>
        <v>-2.7500000000024727E-4</v>
      </c>
      <c r="AE8" s="58">
        <f t="shared" si="10"/>
        <v>-1.2500000000015277E-4</v>
      </c>
      <c r="AF8" s="58">
        <f t="shared" si="10"/>
        <v>-4.9999999999883471E-5</v>
      </c>
      <c r="AG8" s="58">
        <f t="shared" si="7"/>
        <v>-1.531249999999762E-4</v>
      </c>
    </row>
    <row r="9" spans="1:33">
      <c r="A9" s="84"/>
      <c r="B9" s="84">
        <v>160.25</v>
      </c>
      <c r="C9" s="58">
        <v>2.2046000000000001</v>
      </c>
      <c r="D9" s="58">
        <v>2.2046000000000001</v>
      </c>
      <c r="E9" s="58">
        <v>2.2048000000000001</v>
      </c>
      <c r="F9" s="58">
        <v>2.20465</v>
      </c>
      <c r="G9" s="58">
        <v>2.2047500000000002</v>
      </c>
      <c r="H9" s="58">
        <v>2.2048000000000001</v>
      </c>
      <c r="I9" s="58">
        <v>2.2046999999999999</v>
      </c>
      <c r="J9" s="58">
        <v>2.2046999999999999</v>
      </c>
      <c r="K9" s="58">
        <f t="shared" si="0"/>
        <v>2.2046000000000001</v>
      </c>
      <c r="L9" s="58">
        <f t="shared" si="1"/>
        <v>2.2048000000000001</v>
      </c>
      <c r="M9" s="58">
        <f t="shared" si="2"/>
        <v>2.2046000000000001</v>
      </c>
      <c r="N9" s="58">
        <f t="shared" si="3"/>
        <v>0</v>
      </c>
      <c r="O9" s="58">
        <f t="shared" si="4"/>
        <v>1.9999999999997797E-4</v>
      </c>
      <c r="P9" s="58"/>
      <c r="Q9" s="84">
        <v>160.25</v>
      </c>
      <c r="R9" s="84">
        <v>160.25</v>
      </c>
      <c r="S9" s="84">
        <v>160.25</v>
      </c>
      <c r="T9" s="84">
        <v>160.25</v>
      </c>
      <c r="U9" s="84">
        <v>160.25</v>
      </c>
      <c r="V9" s="84">
        <v>160.25</v>
      </c>
      <c r="W9" s="84">
        <v>160.25</v>
      </c>
      <c r="X9" s="84">
        <v>160.25</v>
      </c>
      <c r="Y9" s="58">
        <f>AVERAGE(C5,C9)-AVERAGE(C$4,C$10)</f>
        <v>-4.9999999999883471E-5</v>
      </c>
      <c r="Z9" s="58">
        <f t="shared" ref="Z9:AF9" si="11">AVERAGE(D5,D9)-AVERAGE(D$4,D$10)</f>
        <v>-1.0000000000021103E-4</v>
      </c>
      <c r="AA9" s="58">
        <f t="shared" si="11"/>
        <v>-5.000000000032756E-5</v>
      </c>
      <c r="AB9" s="58">
        <f t="shared" si="11"/>
        <v>-5.000000000032756E-5</v>
      </c>
      <c r="AC9" s="58">
        <f t="shared" si="11"/>
        <v>2.5000000000385825E-5</v>
      </c>
      <c r="AD9" s="58">
        <f t="shared" si="11"/>
        <v>-1.0000000000021103E-4</v>
      </c>
      <c r="AE9" s="58">
        <f t="shared" si="11"/>
        <v>-5.000000000032756E-5</v>
      </c>
      <c r="AF9" s="58">
        <f t="shared" si="11"/>
        <v>4.9999999999883471E-5</v>
      </c>
      <c r="AG9" s="58">
        <f t="shared" si="7"/>
        <v>-4.0625000000127365E-5</v>
      </c>
    </row>
    <row r="10" spans="1:33">
      <c r="A10" s="84"/>
      <c r="B10" s="84">
        <v>175</v>
      </c>
      <c r="C10" s="58">
        <v>2.2046999999999999</v>
      </c>
      <c r="D10" s="58">
        <v>2.2048000000000001</v>
      </c>
      <c r="E10" s="58">
        <v>2.2048000000000001</v>
      </c>
      <c r="F10" s="58">
        <v>2.2047500000000002</v>
      </c>
      <c r="G10" s="58">
        <v>2.2046999999999999</v>
      </c>
      <c r="H10" s="58">
        <v>2.2048000000000001</v>
      </c>
      <c r="I10" s="58">
        <v>2.2048000000000001</v>
      </c>
      <c r="J10" s="58">
        <v>2.2046999999999999</v>
      </c>
      <c r="K10" s="58">
        <f t="shared" si="0"/>
        <v>2.2046999999999999</v>
      </c>
      <c r="L10" s="58">
        <f t="shared" si="1"/>
        <v>2.2048000000000001</v>
      </c>
      <c r="M10" s="58">
        <f t="shared" si="2"/>
        <v>2.2048000000000001</v>
      </c>
      <c r="N10" s="58">
        <f t="shared" si="3"/>
        <v>-1.0000000000021103E-4</v>
      </c>
      <c r="O10" s="58">
        <f t="shared" si="4"/>
        <v>0</v>
      </c>
      <c r="P10" s="58"/>
      <c r="Q10" s="84">
        <v>175</v>
      </c>
      <c r="R10" s="84">
        <v>175</v>
      </c>
      <c r="S10" s="84">
        <v>175</v>
      </c>
      <c r="T10" s="84">
        <v>175</v>
      </c>
      <c r="U10" s="84">
        <v>175</v>
      </c>
      <c r="V10" s="84">
        <v>175</v>
      </c>
      <c r="W10" s="84">
        <v>175</v>
      </c>
      <c r="X10" s="84">
        <v>175</v>
      </c>
      <c r="Y10" s="58">
        <f>AVERAGE(C4,C10)-AVERAGE(C$4,C$10)</f>
        <v>0</v>
      </c>
      <c r="Z10" s="58">
        <f t="shared" ref="Z10:AF10" si="12">AVERAGE(D4,D10)-AVERAGE(D$4,D$10)</f>
        <v>0</v>
      </c>
      <c r="AA10" s="58">
        <f t="shared" si="12"/>
        <v>0</v>
      </c>
      <c r="AB10" s="58">
        <f t="shared" si="12"/>
        <v>0</v>
      </c>
      <c r="AC10" s="58">
        <f t="shared" si="12"/>
        <v>0</v>
      </c>
      <c r="AD10" s="58">
        <f t="shared" si="12"/>
        <v>0</v>
      </c>
      <c r="AE10" s="58">
        <f t="shared" si="12"/>
        <v>0</v>
      </c>
      <c r="AF10" s="58">
        <f t="shared" si="12"/>
        <v>0</v>
      </c>
      <c r="AG10" s="58">
        <f t="shared" si="7"/>
        <v>0</v>
      </c>
    </row>
    <row r="11" spans="1:33">
      <c r="C11" s="83"/>
      <c r="D11" s="83"/>
      <c r="E11" s="83"/>
      <c r="F11" s="83"/>
      <c r="G11" s="83"/>
      <c r="H11" s="83"/>
      <c r="I11" s="83"/>
      <c r="J11" s="83"/>
      <c r="K11" s="58"/>
      <c r="L11" s="58"/>
      <c r="M11" s="58"/>
      <c r="N11" s="58"/>
      <c r="O11" s="58"/>
      <c r="Q11" s="84"/>
      <c r="R11" s="84"/>
      <c r="S11" s="84"/>
      <c r="T11" s="84"/>
      <c r="U11" s="84"/>
      <c r="V11" s="84"/>
      <c r="W11" s="84"/>
      <c r="X11" s="84"/>
      <c r="Y11" s="58"/>
      <c r="Z11" s="58"/>
      <c r="AA11" s="58"/>
      <c r="AB11" s="58"/>
      <c r="AC11" s="58"/>
      <c r="AD11" s="58"/>
      <c r="AE11" s="58"/>
      <c r="AF11" s="58"/>
    </row>
    <row r="12" spans="1:33">
      <c r="A12" s="9" t="s">
        <v>422</v>
      </c>
      <c r="C12" s="83"/>
      <c r="D12" s="83"/>
      <c r="E12" s="83"/>
      <c r="F12" s="83"/>
      <c r="G12" s="83"/>
      <c r="H12" s="83"/>
      <c r="I12" s="83"/>
      <c r="J12" s="83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33">
      <c r="A13" s="58"/>
      <c r="B13" s="9" t="s">
        <v>241</v>
      </c>
      <c r="C13" s="58">
        <v>72.900000000000006</v>
      </c>
      <c r="D13" s="58">
        <v>72.900000000000006</v>
      </c>
      <c r="E13" s="58">
        <v>72.599999999999994</v>
      </c>
      <c r="F13" s="58">
        <v>72.8</v>
      </c>
      <c r="G13" s="58">
        <v>72.5</v>
      </c>
      <c r="H13" s="58">
        <v>73.2</v>
      </c>
      <c r="I13" s="58">
        <v>73.2</v>
      </c>
      <c r="J13" s="58">
        <v>72.7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Y13" s="101" t="s">
        <v>270</v>
      </c>
      <c r="Z13" s="101"/>
      <c r="AA13" s="101"/>
      <c r="AB13" s="101"/>
      <c r="AC13" s="101"/>
      <c r="AD13" s="101"/>
      <c r="AE13" s="101"/>
      <c r="AF13" s="101"/>
    </row>
    <row r="14" spans="1:33">
      <c r="A14" s="58"/>
      <c r="B14" s="9" t="s">
        <v>364</v>
      </c>
      <c r="C14" s="83" t="s">
        <v>175</v>
      </c>
      <c r="D14" s="83" t="s">
        <v>176</v>
      </c>
      <c r="E14" s="83" t="s">
        <v>177</v>
      </c>
      <c r="F14" s="83" t="s">
        <v>178</v>
      </c>
      <c r="G14" s="83" t="s">
        <v>179</v>
      </c>
      <c r="H14" s="83" t="s">
        <v>180</v>
      </c>
      <c r="I14" s="83" t="s">
        <v>181</v>
      </c>
      <c r="J14" s="83" t="s">
        <v>182</v>
      </c>
      <c r="K14" s="53" t="s">
        <v>195</v>
      </c>
      <c r="L14" s="53" t="s">
        <v>183</v>
      </c>
      <c r="M14" s="53" t="s">
        <v>184</v>
      </c>
      <c r="N14" s="53" t="s">
        <v>185</v>
      </c>
      <c r="O14" s="53" t="s">
        <v>186</v>
      </c>
      <c r="P14" s="53"/>
      <c r="Q14" s="53"/>
      <c r="R14" s="53"/>
      <c r="S14" s="53"/>
      <c r="T14" s="53"/>
      <c r="U14" s="53"/>
      <c r="Y14" s="88" t="s">
        <v>175</v>
      </c>
      <c r="Z14" s="88" t="s">
        <v>176</v>
      </c>
      <c r="AA14" s="88" t="s">
        <v>177</v>
      </c>
      <c r="AB14" s="88" t="s">
        <v>178</v>
      </c>
      <c r="AC14" s="88" t="s">
        <v>179</v>
      </c>
      <c r="AD14" s="88" t="s">
        <v>180</v>
      </c>
      <c r="AE14" s="88" t="s">
        <v>181</v>
      </c>
      <c r="AF14" s="88" t="s">
        <v>182</v>
      </c>
      <c r="AG14" s="88" t="s">
        <v>366</v>
      </c>
    </row>
    <row r="15" spans="1:33">
      <c r="A15" s="84"/>
      <c r="B15" s="84">
        <v>5</v>
      </c>
      <c r="C15" s="58">
        <v>2.2049500000000002</v>
      </c>
      <c r="D15" s="58">
        <v>2.2050000000000001</v>
      </c>
      <c r="E15" s="58">
        <v>2.2050999999999998</v>
      </c>
      <c r="F15" s="58">
        <v>2.2050999999999998</v>
      </c>
      <c r="G15" s="58">
        <v>2.2050000000000001</v>
      </c>
      <c r="H15" s="58">
        <v>2.2050999999999998</v>
      </c>
      <c r="I15" s="58">
        <v>2.2049500000000002</v>
      </c>
      <c r="J15" s="58">
        <v>2.2050000000000001</v>
      </c>
      <c r="K15" s="58">
        <f t="shared" ref="K15:K21" si="13">MIN(C15:J15)</f>
        <v>2.2049500000000002</v>
      </c>
      <c r="L15" s="58">
        <f t="shared" ref="L15:L21" si="14">MAX(C15:J15)</f>
        <v>2.2050999999999998</v>
      </c>
      <c r="M15" s="58">
        <f t="shared" ref="M15:M21" si="15">MODE(C15:J15)</f>
        <v>2.2050000000000001</v>
      </c>
      <c r="N15" s="58">
        <f t="shared" ref="N15:N21" si="16">K15-M15</f>
        <v>-4.9999999999883471E-5</v>
      </c>
      <c r="O15" s="58">
        <f t="shared" ref="O15:O21" si="17">L15-M15</f>
        <v>9.9999999999766942E-5</v>
      </c>
      <c r="P15" s="58"/>
      <c r="Q15" s="84">
        <v>5</v>
      </c>
      <c r="R15" s="84">
        <v>5</v>
      </c>
      <c r="S15" s="84">
        <v>5</v>
      </c>
      <c r="T15" s="84">
        <v>5</v>
      </c>
      <c r="U15" s="84">
        <v>5</v>
      </c>
      <c r="V15" s="84">
        <v>5</v>
      </c>
      <c r="W15" s="84">
        <v>5</v>
      </c>
      <c r="X15" s="84">
        <v>5</v>
      </c>
      <c r="Y15" s="58">
        <f>AVERAGE(C15,C21)-AVERAGE(C$15,C$21)</f>
        <v>0</v>
      </c>
      <c r="Z15" s="58">
        <f t="shared" ref="Z15:AF15" si="18">AVERAGE(D15,D21)-AVERAGE(D$15,D$21)</f>
        <v>0</v>
      </c>
      <c r="AA15" s="58">
        <f t="shared" si="18"/>
        <v>0</v>
      </c>
      <c r="AB15" s="58">
        <f t="shared" si="18"/>
        <v>0</v>
      </c>
      <c r="AC15" s="58">
        <f t="shared" si="18"/>
        <v>0</v>
      </c>
      <c r="AD15" s="58">
        <f t="shared" si="18"/>
        <v>0</v>
      </c>
      <c r="AE15" s="58">
        <f t="shared" si="18"/>
        <v>0</v>
      </c>
      <c r="AF15" s="58">
        <f t="shared" si="18"/>
        <v>0</v>
      </c>
      <c r="AG15" s="58">
        <f>AVERAGE(Y15:AF15)</f>
        <v>0</v>
      </c>
    </row>
    <row r="16" spans="1:33">
      <c r="A16" s="84"/>
      <c r="B16" s="84">
        <v>19.75</v>
      </c>
      <c r="C16" s="58">
        <v>2.2050000000000001</v>
      </c>
      <c r="D16" s="58">
        <v>2.2048999999999999</v>
      </c>
      <c r="E16" s="58">
        <v>2.2050000000000001</v>
      </c>
      <c r="F16" s="58">
        <v>2.2050999999999998</v>
      </c>
      <c r="G16" s="58">
        <v>2.2050000000000001</v>
      </c>
      <c r="H16" s="58">
        <v>2.2050999999999998</v>
      </c>
      <c r="I16" s="58">
        <v>2.2048000000000001</v>
      </c>
      <c r="J16" s="58">
        <v>2.2050000000000001</v>
      </c>
      <c r="K16" s="58">
        <f t="shared" si="13"/>
        <v>2.2048000000000001</v>
      </c>
      <c r="L16" s="58">
        <f t="shared" si="14"/>
        <v>2.2050999999999998</v>
      </c>
      <c r="M16" s="58">
        <f t="shared" si="15"/>
        <v>2.2050000000000001</v>
      </c>
      <c r="N16" s="58">
        <f t="shared" si="16"/>
        <v>-1.9999999999997797E-4</v>
      </c>
      <c r="O16" s="58">
        <f t="shared" si="17"/>
        <v>9.9999999999766942E-5</v>
      </c>
      <c r="P16" s="58"/>
      <c r="Q16" s="84">
        <v>19.75</v>
      </c>
      <c r="R16" s="84">
        <v>19.75</v>
      </c>
      <c r="S16" s="84">
        <v>19.75</v>
      </c>
      <c r="T16" s="84">
        <v>19.75</v>
      </c>
      <c r="U16" s="84">
        <v>19.75</v>
      </c>
      <c r="V16" s="84">
        <v>19.75</v>
      </c>
      <c r="W16" s="84">
        <v>19.75</v>
      </c>
      <c r="X16" s="84">
        <v>19.75</v>
      </c>
      <c r="Y16" s="58">
        <f>AVERAGE(C16,C20)-AVERAGE(C$15,C$21)</f>
        <v>7.4999999999825206E-5</v>
      </c>
      <c r="Z16" s="58">
        <f t="shared" ref="Z16:AF16" si="19">AVERAGE(D16,D20)-AVERAGE(D$15,D$21)</f>
        <v>-1.0000000000021103E-4</v>
      </c>
      <c r="AA16" s="58">
        <f t="shared" si="19"/>
        <v>-4.9999999999883471E-5</v>
      </c>
      <c r="AB16" s="58">
        <f t="shared" si="19"/>
        <v>0</v>
      </c>
      <c r="AC16" s="58">
        <f t="shared" si="19"/>
        <v>4.9999999999883471E-5</v>
      </c>
      <c r="AD16" s="58">
        <f t="shared" si="19"/>
        <v>0</v>
      </c>
      <c r="AE16" s="58">
        <f t="shared" si="19"/>
        <v>-2.5000000000385825E-5</v>
      </c>
      <c r="AF16" s="58">
        <f t="shared" si="19"/>
        <v>0</v>
      </c>
      <c r="AG16" s="58">
        <f t="shared" ref="AG16:AG21" si="20">AVERAGE(Y16:AF16)</f>
        <v>-6.2500000000964562E-6</v>
      </c>
    </row>
    <row r="17" spans="1:33">
      <c r="A17" s="84"/>
      <c r="B17" s="84">
        <v>45</v>
      </c>
      <c r="C17" s="58">
        <v>2.2050000000000001</v>
      </c>
      <c r="D17" s="58">
        <v>2.2048000000000001</v>
      </c>
      <c r="E17" s="58">
        <v>2.2050000000000001</v>
      </c>
      <c r="F17" s="58">
        <v>2.2049500000000002</v>
      </c>
      <c r="G17" s="58">
        <v>2.2050000000000001</v>
      </c>
      <c r="H17" s="58">
        <v>2.2048999999999999</v>
      </c>
      <c r="I17" s="58">
        <v>2.2048000000000001</v>
      </c>
      <c r="J17" s="58">
        <v>2.2048999999999999</v>
      </c>
      <c r="K17" s="58">
        <f t="shared" si="13"/>
        <v>2.2048000000000001</v>
      </c>
      <c r="L17" s="58">
        <f t="shared" si="14"/>
        <v>2.2050000000000001</v>
      </c>
      <c r="M17" s="58">
        <f t="shared" si="15"/>
        <v>2.2050000000000001</v>
      </c>
      <c r="N17" s="58">
        <f t="shared" si="16"/>
        <v>-1.9999999999997797E-4</v>
      </c>
      <c r="O17" s="58">
        <f t="shared" si="17"/>
        <v>0</v>
      </c>
      <c r="P17" s="58"/>
      <c r="Q17" s="84">
        <v>45</v>
      </c>
      <c r="R17" s="84">
        <v>45</v>
      </c>
      <c r="S17" s="84">
        <v>45</v>
      </c>
      <c r="T17" s="84">
        <v>45</v>
      </c>
      <c r="U17" s="84">
        <v>45</v>
      </c>
      <c r="V17" s="84">
        <v>45</v>
      </c>
      <c r="W17" s="84">
        <v>45</v>
      </c>
      <c r="X17" s="84">
        <v>45</v>
      </c>
      <c r="Y17" s="58">
        <f>AVERAGE(C17,C19)-AVERAGE(C$15,C$21)</f>
        <v>1.2499999999970868E-4</v>
      </c>
      <c r="Z17" s="58">
        <f t="shared" ref="Z17:AF17" si="21">AVERAGE(D17,D19)-AVERAGE(D$15,D$21)</f>
        <v>-1.500000000000945E-4</v>
      </c>
      <c r="AA17" s="58">
        <f t="shared" si="21"/>
        <v>-4.9999999999883471E-5</v>
      </c>
      <c r="AB17" s="58">
        <f t="shared" si="21"/>
        <v>-1.7499999999959215E-4</v>
      </c>
      <c r="AC17" s="58">
        <f t="shared" si="21"/>
        <v>4.9999999999883471E-5</v>
      </c>
      <c r="AD17" s="58">
        <f t="shared" si="21"/>
        <v>-9.9999999999766942E-5</v>
      </c>
      <c r="AE17" s="58">
        <f t="shared" si="21"/>
        <v>-2.5000000000385825E-5</v>
      </c>
      <c r="AF17" s="58">
        <f t="shared" si="21"/>
        <v>-1.0000000000021103E-4</v>
      </c>
      <c r="AG17" s="58">
        <f t="shared" si="20"/>
        <v>-5.3125000000042721E-5</v>
      </c>
    </row>
    <row r="18" spans="1:33">
      <c r="A18" s="84"/>
      <c r="B18" s="84">
        <v>90</v>
      </c>
      <c r="C18" s="58">
        <v>2.2052</v>
      </c>
      <c r="D18" s="58">
        <v>2.2048000000000001</v>
      </c>
      <c r="E18" s="58">
        <v>2.2050000000000001</v>
      </c>
      <c r="F18" s="58">
        <v>2.2048000000000001</v>
      </c>
      <c r="G18" s="58">
        <v>2.2052</v>
      </c>
      <c r="H18" s="58">
        <v>2.2048999999999999</v>
      </c>
      <c r="I18" s="58">
        <v>2.2048000000000001</v>
      </c>
      <c r="J18" s="58">
        <v>2.2050000000000001</v>
      </c>
      <c r="K18" s="58">
        <f t="shared" si="13"/>
        <v>2.2048000000000001</v>
      </c>
      <c r="L18" s="58">
        <f t="shared" si="14"/>
        <v>2.2052</v>
      </c>
      <c r="M18" s="58">
        <f t="shared" si="15"/>
        <v>2.2048000000000001</v>
      </c>
      <c r="N18" s="58">
        <f t="shared" si="16"/>
        <v>0</v>
      </c>
      <c r="O18" s="58">
        <f t="shared" si="17"/>
        <v>3.9999999999995595E-4</v>
      </c>
      <c r="P18" s="58"/>
      <c r="Q18" s="84">
        <v>90</v>
      </c>
      <c r="R18" s="84">
        <v>90</v>
      </c>
      <c r="S18" s="84">
        <v>90</v>
      </c>
      <c r="T18" s="84">
        <v>90</v>
      </c>
      <c r="U18" s="84">
        <v>90</v>
      </c>
      <c r="V18" s="84">
        <v>90</v>
      </c>
      <c r="W18" s="84">
        <v>90</v>
      </c>
      <c r="X18" s="84">
        <v>90</v>
      </c>
      <c r="Y18" s="58">
        <f>C18-AVERAGE(C$15,C$21)</f>
        <v>2.2499999999991971E-4</v>
      </c>
      <c r="Z18" s="58">
        <f t="shared" ref="Z18:AF18" si="22">D18-AVERAGE(D$15,D$21)</f>
        <v>-1.9999999999997797E-4</v>
      </c>
      <c r="AA18" s="58">
        <f t="shared" si="22"/>
        <v>-4.9999999999883471E-5</v>
      </c>
      <c r="AB18" s="58">
        <f t="shared" si="22"/>
        <v>-2.4999999999986144E-4</v>
      </c>
      <c r="AC18" s="58">
        <f t="shared" si="22"/>
        <v>1.9999999999997797E-4</v>
      </c>
      <c r="AD18" s="58">
        <f t="shared" si="22"/>
        <v>-1.500000000000945E-4</v>
      </c>
      <c r="AE18" s="58">
        <f t="shared" si="22"/>
        <v>-7.5000000000269296E-5</v>
      </c>
      <c r="AF18" s="58">
        <f t="shared" si="22"/>
        <v>0</v>
      </c>
      <c r="AG18" s="58">
        <f t="shared" si="20"/>
        <v>-3.7500000000023626E-5</v>
      </c>
    </row>
    <row r="19" spans="1:33">
      <c r="A19" s="84"/>
      <c r="B19" s="84">
        <v>135</v>
      </c>
      <c r="C19" s="58">
        <v>2.2052</v>
      </c>
      <c r="D19" s="58">
        <v>2.2048999999999999</v>
      </c>
      <c r="E19" s="58">
        <v>2.2050000000000001</v>
      </c>
      <c r="F19" s="58">
        <v>2.2048000000000001</v>
      </c>
      <c r="G19" s="58">
        <v>2.2050999999999998</v>
      </c>
      <c r="H19" s="58">
        <v>2.2050000000000001</v>
      </c>
      <c r="I19" s="58">
        <v>2.2048999999999999</v>
      </c>
      <c r="J19" s="58">
        <v>2.2048999999999999</v>
      </c>
      <c r="K19" s="58">
        <f t="shared" si="13"/>
        <v>2.2048000000000001</v>
      </c>
      <c r="L19" s="58">
        <f t="shared" si="14"/>
        <v>2.2052</v>
      </c>
      <c r="M19" s="58">
        <f t="shared" si="15"/>
        <v>2.2048999999999999</v>
      </c>
      <c r="N19" s="58">
        <f t="shared" si="16"/>
        <v>-9.9999999999766942E-5</v>
      </c>
      <c r="O19" s="58">
        <f t="shared" si="17"/>
        <v>3.00000000000189E-4</v>
      </c>
      <c r="P19" s="58"/>
      <c r="Q19" s="84">
        <v>135</v>
      </c>
      <c r="R19" s="84">
        <v>135</v>
      </c>
      <c r="S19" s="84">
        <v>135</v>
      </c>
      <c r="T19" s="84">
        <v>135</v>
      </c>
      <c r="U19" s="84">
        <v>135</v>
      </c>
      <c r="V19" s="84">
        <v>135</v>
      </c>
      <c r="W19" s="84">
        <v>135</v>
      </c>
      <c r="X19" s="84">
        <v>135</v>
      </c>
      <c r="Y19" s="58">
        <f>AVERAGE(C17,C19)-AVERAGE(C$15,C$21)</f>
        <v>1.2499999999970868E-4</v>
      </c>
      <c r="Z19" s="58">
        <f t="shared" ref="Z19:AF19" si="23">AVERAGE(D17,D19)-AVERAGE(D$15,D$21)</f>
        <v>-1.500000000000945E-4</v>
      </c>
      <c r="AA19" s="58">
        <f t="shared" si="23"/>
        <v>-4.9999999999883471E-5</v>
      </c>
      <c r="AB19" s="58">
        <f t="shared" si="23"/>
        <v>-1.7499999999959215E-4</v>
      </c>
      <c r="AC19" s="58">
        <f t="shared" si="23"/>
        <v>4.9999999999883471E-5</v>
      </c>
      <c r="AD19" s="58">
        <f t="shared" si="23"/>
        <v>-9.9999999999766942E-5</v>
      </c>
      <c r="AE19" s="58">
        <f t="shared" si="23"/>
        <v>-2.5000000000385825E-5</v>
      </c>
      <c r="AF19" s="58">
        <f t="shared" si="23"/>
        <v>-1.0000000000021103E-4</v>
      </c>
      <c r="AG19" s="58">
        <f t="shared" si="20"/>
        <v>-5.3125000000042721E-5</v>
      </c>
    </row>
    <row r="20" spans="1:33">
      <c r="A20" s="84"/>
      <c r="B20" s="84">
        <v>160.25</v>
      </c>
      <c r="C20" s="58">
        <v>2.2050999999999998</v>
      </c>
      <c r="D20" s="58">
        <v>2.2048999999999999</v>
      </c>
      <c r="E20" s="58">
        <v>2.2050000000000001</v>
      </c>
      <c r="F20" s="58">
        <v>2.2050000000000001</v>
      </c>
      <c r="G20" s="58">
        <v>2.2050999999999998</v>
      </c>
      <c r="H20" s="58">
        <v>2.2050000000000001</v>
      </c>
      <c r="I20" s="58">
        <v>2.2048999999999999</v>
      </c>
      <c r="J20" s="58">
        <v>2.2050000000000001</v>
      </c>
      <c r="K20" s="58">
        <f t="shared" si="13"/>
        <v>2.2048999999999999</v>
      </c>
      <c r="L20" s="58">
        <f t="shared" si="14"/>
        <v>2.2050999999999998</v>
      </c>
      <c r="M20" s="58">
        <f t="shared" si="15"/>
        <v>2.2050000000000001</v>
      </c>
      <c r="N20" s="58">
        <f t="shared" si="16"/>
        <v>-1.0000000000021103E-4</v>
      </c>
      <c r="O20" s="58">
        <f t="shared" si="17"/>
        <v>9.9999999999766942E-5</v>
      </c>
      <c r="P20" s="58"/>
      <c r="Q20" s="84">
        <v>160.25</v>
      </c>
      <c r="R20" s="84">
        <v>160.25</v>
      </c>
      <c r="S20" s="84">
        <v>160.25</v>
      </c>
      <c r="T20" s="84">
        <v>160.25</v>
      </c>
      <c r="U20" s="84">
        <v>160.25</v>
      </c>
      <c r="V20" s="84">
        <v>160.25</v>
      </c>
      <c r="W20" s="84">
        <v>160.25</v>
      </c>
      <c r="X20" s="84">
        <v>160.25</v>
      </c>
      <c r="Y20" s="58">
        <f>AVERAGE(C16,C20)-AVERAGE(C$15,C$21)</f>
        <v>7.4999999999825206E-5</v>
      </c>
      <c r="Z20" s="58">
        <f t="shared" ref="Z20:AF20" si="24">AVERAGE(D16,D20)-AVERAGE(D$15,D$21)</f>
        <v>-1.0000000000021103E-4</v>
      </c>
      <c r="AA20" s="58">
        <f t="shared" si="24"/>
        <v>-4.9999999999883471E-5</v>
      </c>
      <c r="AB20" s="58">
        <f t="shared" si="24"/>
        <v>0</v>
      </c>
      <c r="AC20" s="58">
        <f t="shared" si="24"/>
        <v>4.9999999999883471E-5</v>
      </c>
      <c r="AD20" s="58">
        <f t="shared" si="24"/>
        <v>0</v>
      </c>
      <c r="AE20" s="58">
        <f t="shared" si="24"/>
        <v>-2.5000000000385825E-5</v>
      </c>
      <c r="AF20" s="58">
        <f t="shared" si="24"/>
        <v>0</v>
      </c>
      <c r="AG20" s="58">
        <f t="shared" si="20"/>
        <v>-6.2500000000964562E-6</v>
      </c>
    </row>
    <row r="21" spans="1:33">
      <c r="A21" s="84"/>
      <c r="B21" s="84">
        <v>175</v>
      </c>
      <c r="C21" s="58">
        <v>2.2050000000000001</v>
      </c>
      <c r="D21" s="58">
        <v>2.2050000000000001</v>
      </c>
      <c r="E21" s="58">
        <v>2.2050000000000001</v>
      </c>
      <c r="F21" s="58">
        <v>2.2050000000000001</v>
      </c>
      <c r="G21" s="58">
        <v>2.2050000000000001</v>
      </c>
      <c r="H21" s="58">
        <v>2.2050000000000001</v>
      </c>
      <c r="I21" s="58">
        <v>2.2048000000000001</v>
      </c>
      <c r="J21" s="58">
        <v>2.2050000000000001</v>
      </c>
      <c r="K21" s="58">
        <f t="shared" si="13"/>
        <v>2.2048000000000001</v>
      </c>
      <c r="L21" s="58">
        <f t="shared" si="14"/>
        <v>2.2050000000000001</v>
      </c>
      <c r="M21" s="58">
        <f t="shared" si="15"/>
        <v>2.2050000000000001</v>
      </c>
      <c r="N21" s="58">
        <f t="shared" si="16"/>
        <v>-1.9999999999997797E-4</v>
      </c>
      <c r="O21" s="58">
        <f t="shared" si="17"/>
        <v>0</v>
      </c>
      <c r="P21" s="58"/>
      <c r="Q21" s="84">
        <v>175</v>
      </c>
      <c r="R21" s="84">
        <v>175</v>
      </c>
      <c r="S21" s="84">
        <v>175</v>
      </c>
      <c r="T21" s="84">
        <v>175</v>
      </c>
      <c r="U21" s="84">
        <v>175</v>
      </c>
      <c r="V21" s="84">
        <v>175</v>
      </c>
      <c r="W21" s="84">
        <v>175</v>
      </c>
      <c r="X21" s="84">
        <v>175</v>
      </c>
      <c r="Y21" s="58">
        <f>AVERAGE(C15,C21)-AVERAGE(C$15,C$21)</f>
        <v>0</v>
      </c>
      <c r="Z21" s="58">
        <f t="shared" ref="Z21:AF21" si="25">AVERAGE(D15,D21)-AVERAGE(D$15,D$21)</f>
        <v>0</v>
      </c>
      <c r="AA21" s="58">
        <f t="shared" si="25"/>
        <v>0</v>
      </c>
      <c r="AB21" s="58">
        <f t="shared" si="25"/>
        <v>0</v>
      </c>
      <c r="AC21" s="58">
        <f t="shared" si="25"/>
        <v>0</v>
      </c>
      <c r="AD21" s="58">
        <f t="shared" si="25"/>
        <v>0</v>
      </c>
      <c r="AE21" s="58">
        <f t="shared" si="25"/>
        <v>0</v>
      </c>
      <c r="AF21" s="58">
        <f t="shared" si="25"/>
        <v>0</v>
      </c>
      <c r="AG21" s="58">
        <f t="shared" si="20"/>
        <v>0</v>
      </c>
    </row>
    <row r="54" spans="3:32">
      <c r="C54" s="83"/>
      <c r="D54" s="83"/>
      <c r="E54" s="83"/>
      <c r="F54" s="83"/>
      <c r="G54" s="83"/>
      <c r="H54" s="83"/>
      <c r="I54" s="83"/>
      <c r="J54" s="83"/>
      <c r="K54" s="58"/>
      <c r="L54" s="58"/>
      <c r="M54" s="58"/>
      <c r="N54" s="58"/>
      <c r="O54" s="58"/>
      <c r="Q54" s="84"/>
      <c r="R54" s="84"/>
      <c r="S54" s="84"/>
      <c r="T54" s="84"/>
      <c r="U54" s="84"/>
      <c r="V54" s="84"/>
      <c r="W54" s="84"/>
      <c r="X54" s="84"/>
      <c r="Y54" s="58"/>
      <c r="Z54" s="58"/>
      <c r="AA54" s="58"/>
      <c r="AB54" s="58"/>
      <c r="AC54" s="58"/>
      <c r="AD54" s="58"/>
      <c r="AE54" s="58"/>
      <c r="AF54" s="58"/>
    </row>
  </sheetData>
  <mergeCells count="2">
    <mergeCell ref="Y2:AF2"/>
    <mergeCell ref="Y13:AF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G118"/>
  <sheetViews>
    <sheetView topLeftCell="A47" workbookViewId="0">
      <selection activeCell="Y112" sqref="Y112:AF118"/>
    </sheetView>
  </sheetViews>
  <sheetFormatPr defaultRowHeight="15"/>
  <sheetData>
    <row r="1" spans="1:33" s="9" customFormat="1">
      <c r="A1" s="9" t="s">
        <v>399</v>
      </c>
      <c r="C1" s="83"/>
      <c r="D1" s="83"/>
      <c r="E1" s="83"/>
      <c r="F1" s="83"/>
      <c r="G1" s="83"/>
      <c r="H1" s="83"/>
      <c r="I1" s="83"/>
      <c r="J1" s="83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3" s="9" customFormat="1">
      <c r="A2" s="58"/>
      <c r="B2" s="9" t="s">
        <v>241</v>
      </c>
      <c r="C2" s="58">
        <v>72.900000000000006</v>
      </c>
      <c r="D2" s="58">
        <v>72.400000000000006</v>
      </c>
      <c r="E2" s="58">
        <v>71.7</v>
      </c>
      <c r="F2" s="58">
        <v>72.099999999999994</v>
      </c>
      <c r="G2" s="58">
        <v>73.099999999999994</v>
      </c>
      <c r="H2" s="58">
        <v>72.7</v>
      </c>
      <c r="I2" s="58">
        <v>71.900000000000006</v>
      </c>
      <c r="J2" s="58">
        <v>72.099999999999994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Y2" s="101" t="s">
        <v>270</v>
      </c>
      <c r="Z2" s="101"/>
      <c r="AA2" s="101"/>
      <c r="AB2" s="101"/>
      <c r="AC2" s="101"/>
      <c r="AD2" s="101"/>
      <c r="AE2" s="101"/>
      <c r="AF2" s="101"/>
    </row>
    <row r="3" spans="1:33" s="9" customFormat="1">
      <c r="A3" s="58"/>
      <c r="B3" s="9" t="s">
        <v>364</v>
      </c>
      <c r="C3" s="83" t="s">
        <v>175</v>
      </c>
      <c r="D3" s="83" t="s">
        <v>176</v>
      </c>
      <c r="E3" s="83" t="s">
        <v>177</v>
      </c>
      <c r="F3" s="83" t="s">
        <v>178</v>
      </c>
      <c r="G3" s="83" t="s">
        <v>179</v>
      </c>
      <c r="H3" s="83" t="s">
        <v>180</v>
      </c>
      <c r="I3" s="83" t="s">
        <v>181</v>
      </c>
      <c r="J3" s="83" t="s">
        <v>182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P3" s="53"/>
      <c r="Q3" s="53"/>
      <c r="R3" s="53"/>
      <c r="S3" s="53"/>
      <c r="T3" s="53"/>
      <c r="U3" s="53"/>
      <c r="Y3" s="88" t="s">
        <v>175</v>
      </c>
      <c r="Z3" s="88" t="s">
        <v>176</v>
      </c>
      <c r="AA3" s="88" t="s">
        <v>177</v>
      </c>
      <c r="AB3" s="88" t="s">
        <v>178</v>
      </c>
      <c r="AC3" s="88" t="s">
        <v>179</v>
      </c>
      <c r="AD3" s="88" t="s">
        <v>180</v>
      </c>
      <c r="AE3" s="88" t="s">
        <v>181</v>
      </c>
      <c r="AF3" s="88" t="s">
        <v>182</v>
      </c>
    </row>
    <row r="4" spans="1:33" s="9" customFormat="1">
      <c r="A4" s="84"/>
      <c r="B4" s="84">
        <v>5</v>
      </c>
      <c r="C4" s="58">
        <v>2.2048000000000001</v>
      </c>
      <c r="D4" s="58">
        <v>2.2048000000000001</v>
      </c>
      <c r="E4" s="58">
        <v>2.2049500000000002</v>
      </c>
      <c r="F4" s="58">
        <v>2.2048000000000001</v>
      </c>
      <c r="G4" s="58">
        <v>2.2046000000000001</v>
      </c>
      <c r="H4" s="58">
        <v>2.2048999999999999</v>
      </c>
      <c r="I4" s="58">
        <v>2.2048000000000001</v>
      </c>
      <c r="J4" s="58">
        <v>2.2046000000000001</v>
      </c>
      <c r="K4" s="58">
        <f t="shared" ref="K4:K10" si="0">MIN(C4:J4)</f>
        <v>2.2046000000000001</v>
      </c>
      <c r="L4" s="58">
        <f t="shared" ref="L4:L10" si="1">MAX(C4:J4)</f>
        <v>2.2049500000000002</v>
      </c>
      <c r="M4" s="58">
        <f t="shared" ref="M4:M10" si="2">MODE(C4:J4)</f>
        <v>2.2048000000000001</v>
      </c>
      <c r="N4" s="58">
        <f t="shared" ref="N4:N10" si="3">K4-M4</f>
        <v>-1.9999999999997797E-4</v>
      </c>
      <c r="O4" s="58">
        <f t="shared" ref="O4:O10" si="4">L4-M4</f>
        <v>1.500000000000945E-4</v>
      </c>
      <c r="P4" s="58"/>
      <c r="Q4" s="84">
        <v>5</v>
      </c>
      <c r="R4" s="84">
        <v>5</v>
      </c>
      <c r="S4" s="84">
        <v>5</v>
      </c>
      <c r="T4" s="84">
        <v>5</v>
      </c>
      <c r="U4" s="84">
        <v>5</v>
      </c>
      <c r="V4" s="84">
        <v>5</v>
      </c>
      <c r="W4" s="84">
        <v>5</v>
      </c>
      <c r="X4" s="84">
        <v>5</v>
      </c>
      <c r="Y4" s="58">
        <f>AVERAGE(C4,C10)-AVERAGE(C$4,C$10)</f>
        <v>0</v>
      </c>
      <c r="Z4" s="58">
        <f t="shared" ref="Z4:AF4" si="5">AVERAGE(D4,D10)-AVERAGE(D$4,D$10)</f>
        <v>0</v>
      </c>
      <c r="AA4" s="58">
        <f t="shared" si="5"/>
        <v>0</v>
      </c>
      <c r="AB4" s="58">
        <f t="shared" si="5"/>
        <v>0</v>
      </c>
      <c r="AC4" s="58">
        <f t="shared" si="5"/>
        <v>0</v>
      </c>
      <c r="AD4" s="58">
        <f t="shared" si="5"/>
        <v>0</v>
      </c>
      <c r="AE4" s="58">
        <f t="shared" si="5"/>
        <v>0</v>
      </c>
      <c r="AF4" s="58">
        <f t="shared" si="5"/>
        <v>0</v>
      </c>
    </row>
    <row r="5" spans="1:33" s="9" customFormat="1">
      <c r="A5" s="84"/>
      <c r="B5" s="84">
        <v>19.75</v>
      </c>
      <c r="C5" s="58">
        <v>2.2049500000000002</v>
      </c>
      <c r="D5" s="58">
        <v>2.2048999999999999</v>
      </c>
      <c r="E5" s="58">
        <v>2.2048000000000001</v>
      </c>
      <c r="F5" s="58">
        <v>2.2049500000000002</v>
      </c>
      <c r="G5" s="58">
        <v>2.2048000000000001</v>
      </c>
      <c r="H5" s="58">
        <v>2.2050000000000001</v>
      </c>
      <c r="I5" s="58">
        <v>2.2050000000000001</v>
      </c>
      <c r="J5" s="58">
        <v>2.2048000000000001</v>
      </c>
      <c r="K5" s="58">
        <f t="shared" si="0"/>
        <v>2.2048000000000001</v>
      </c>
      <c r="L5" s="58">
        <f t="shared" si="1"/>
        <v>2.2050000000000001</v>
      </c>
      <c r="M5" s="58">
        <f t="shared" si="2"/>
        <v>2.2048000000000001</v>
      </c>
      <c r="N5" s="58">
        <f t="shared" si="3"/>
        <v>0</v>
      </c>
      <c r="O5" s="58">
        <f t="shared" si="4"/>
        <v>1.9999999999997797E-4</v>
      </c>
      <c r="P5" s="58"/>
      <c r="Q5" s="84">
        <v>19.75</v>
      </c>
      <c r="R5" s="84">
        <v>19.75</v>
      </c>
      <c r="S5" s="84">
        <v>19.75</v>
      </c>
      <c r="T5" s="84">
        <v>19.75</v>
      </c>
      <c r="U5" s="84">
        <v>19.75</v>
      </c>
      <c r="V5" s="84">
        <v>19.75</v>
      </c>
      <c r="W5" s="84">
        <v>19.75</v>
      </c>
      <c r="X5" s="84">
        <v>19.75</v>
      </c>
      <c r="Y5" s="58">
        <f>AVERAGE(C5,C9)-AVERAGE(C$4,C$10)</f>
        <v>1.2500000000059686E-4</v>
      </c>
      <c r="Z5" s="58">
        <f t="shared" ref="Z5:AF5" si="6">AVERAGE(D5,D9)-AVERAGE(D$4,D$10)</f>
        <v>4.9999999999883471E-5</v>
      </c>
      <c r="AA5" s="58">
        <f t="shared" si="6"/>
        <v>-4.9999999999883471E-5</v>
      </c>
      <c r="AB5" s="58">
        <f t="shared" si="6"/>
        <v>7.5000000000269296E-5</v>
      </c>
      <c r="AC5" s="58">
        <f t="shared" si="6"/>
        <v>1.9999999999997797E-4</v>
      </c>
      <c r="AD5" s="58">
        <f t="shared" si="6"/>
        <v>1.0000000000021103E-4</v>
      </c>
      <c r="AE5" s="58">
        <f t="shared" si="6"/>
        <v>1.7500000000003624E-4</v>
      </c>
      <c r="AF5" s="58">
        <f t="shared" si="6"/>
        <v>1.9999999999997797E-4</v>
      </c>
    </row>
    <row r="6" spans="1:33" s="9" customFormat="1">
      <c r="A6" s="84"/>
      <c r="B6" s="84">
        <v>45</v>
      </c>
      <c r="C6" s="58">
        <v>2.2050000000000001</v>
      </c>
      <c r="D6" s="58">
        <v>2.2049500000000002</v>
      </c>
      <c r="E6" s="58">
        <v>2.2050000000000001</v>
      </c>
      <c r="F6" s="58">
        <v>2.2050000000000001</v>
      </c>
      <c r="G6" s="58">
        <v>2.20485</v>
      </c>
      <c r="H6" s="58">
        <v>2.2049500000000002</v>
      </c>
      <c r="I6" s="58">
        <v>2.2050000000000001</v>
      </c>
      <c r="J6" s="58">
        <v>2.2050000000000001</v>
      </c>
      <c r="K6" s="58">
        <f t="shared" si="0"/>
        <v>2.20485</v>
      </c>
      <c r="L6" s="58">
        <f t="shared" si="1"/>
        <v>2.2050000000000001</v>
      </c>
      <c r="M6" s="58">
        <f t="shared" si="2"/>
        <v>2.2050000000000001</v>
      </c>
      <c r="N6" s="58">
        <f t="shared" si="3"/>
        <v>-1.500000000000945E-4</v>
      </c>
      <c r="O6" s="58">
        <f t="shared" si="4"/>
        <v>0</v>
      </c>
      <c r="P6" s="58"/>
      <c r="Q6" s="84">
        <v>45</v>
      </c>
      <c r="R6" s="84">
        <v>45</v>
      </c>
      <c r="S6" s="84">
        <v>45</v>
      </c>
      <c r="T6" s="84">
        <v>45</v>
      </c>
      <c r="U6" s="84">
        <v>45</v>
      </c>
      <c r="V6" s="84">
        <v>45</v>
      </c>
      <c r="W6" s="84">
        <v>45</v>
      </c>
      <c r="X6" s="84">
        <v>45</v>
      </c>
      <c r="Y6" s="58">
        <f>AVERAGE(C6,C8)-AVERAGE(C$4,C$10)</f>
        <v>1.5000000000053859E-4</v>
      </c>
      <c r="Z6" s="58">
        <f t="shared" ref="Z6:AF6" si="7">AVERAGE(D6,D8)-AVERAGE(D$4,D$10)</f>
        <v>7.5000000000269296E-5</v>
      </c>
      <c r="AA6" s="58">
        <f t="shared" si="7"/>
        <v>2.4999999999941735E-5</v>
      </c>
      <c r="AB6" s="58">
        <f t="shared" si="7"/>
        <v>1.0000000000021103E-4</v>
      </c>
      <c r="AC6" s="58">
        <f t="shared" si="7"/>
        <v>2.7499999999980318E-4</v>
      </c>
      <c r="AD6" s="58">
        <f t="shared" si="7"/>
        <v>1.0000000000021103E-4</v>
      </c>
      <c r="AE6" s="58">
        <f t="shared" si="7"/>
        <v>1.7500000000003624E-4</v>
      </c>
      <c r="AF6" s="58">
        <f t="shared" si="7"/>
        <v>3.9999999999995595E-4</v>
      </c>
    </row>
    <row r="7" spans="1:33" s="9" customFormat="1">
      <c r="A7" s="84"/>
      <c r="B7" s="84">
        <v>90</v>
      </c>
      <c r="C7" s="58">
        <v>2.2048999999999999</v>
      </c>
      <c r="D7" s="58">
        <v>2.2048999999999999</v>
      </c>
      <c r="E7" s="58">
        <v>2.2050000000000001</v>
      </c>
      <c r="F7" s="58">
        <v>2.2050000000000001</v>
      </c>
      <c r="G7" s="58">
        <v>2.2050000000000001</v>
      </c>
      <c r="H7" s="58">
        <v>2.2049500000000002</v>
      </c>
      <c r="I7" s="58">
        <v>2.2050999999999998</v>
      </c>
      <c r="J7" s="58">
        <v>2.2050999999999998</v>
      </c>
      <c r="K7" s="58">
        <f t="shared" si="0"/>
        <v>2.2048999999999999</v>
      </c>
      <c r="L7" s="58">
        <f t="shared" si="1"/>
        <v>2.2050999999999998</v>
      </c>
      <c r="M7" s="58">
        <f t="shared" si="2"/>
        <v>2.2050000000000001</v>
      </c>
      <c r="N7" s="58">
        <f t="shared" si="3"/>
        <v>-1.0000000000021103E-4</v>
      </c>
      <c r="O7" s="58">
        <f t="shared" si="4"/>
        <v>9.9999999999766942E-5</v>
      </c>
      <c r="P7" s="58"/>
      <c r="Q7" s="84">
        <v>90</v>
      </c>
      <c r="R7" s="84">
        <v>90</v>
      </c>
      <c r="S7" s="84">
        <v>90</v>
      </c>
      <c r="T7" s="84">
        <v>90</v>
      </c>
      <c r="U7" s="84">
        <v>90</v>
      </c>
      <c r="V7" s="84">
        <v>90</v>
      </c>
      <c r="W7" s="84">
        <v>90</v>
      </c>
      <c r="X7" s="84">
        <v>90</v>
      </c>
      <c r="Y7" s="58">
        <f>C7-AVERAGE(C$4,C$10)</f>
        <v>1.500000000000945E-4</v>
      </c>
      <c r="Z7" s="58">
        <f t="shared" ref="Z7:AF7" si="8">D7-AVERAGE(D$4,D$10)</f>
        <v>9.9999999999766942E-5</v>
      </c>
      <c r="AA7" s="58">
        <f t="shared" si="8"/>
        <v>4.9999999999883471E-5</v>
      </c>
      <c r="AB7" s="58">
        <f t="shared" si="8"/>
        <v>1.9999999999997797E-4</v>
      </c>
      <c r="AC7" s="58">
        <f t="shared" si="8"/>
        <v>3.9999999999995595E-4</v>
      </c>
      <c r="AD7" s="58">
        <f t="shared" si="8"/>
        <v>1.0000000000021103E-4</v>
      </c>
      <c r="AE7" s="58">
        <f t="shared" si="8"/>
        <v>2.9999999999974492E-4</v>
      </c>
      <c r="AF7" s="58">
        <f t="shared" si="8"/>
        <v>4.9999999999972289E-4</v>
      </c>
    </row>
    <row r="8" spans="1:33" s="9" customFormat="1">
      <c r="A8" s="84"/>
      <c r="B8" s="84">
        <v>135</v>
      </c>
      <c r="C8" s="58">
        <v>2.2048000000000001</v>
      </c>
      <c r="D8" s="58">
        <v>2.2048000000000001</v>
      </c>
      <c r="E8" s="58">
        <v>2.2049500000000002</v>
      </c>
      <c r="F8" s="58">
        <v>2.2048000000000001</v>
      </c>
      <c r="G8" s="58">
        <v>2.2048999999999999</v>
      </c>
      <c r="H8" s="58">
        <v>2.2049500000000002</v>
      </c>
      <c r="I8" s="58">
        <v>2.2049500000000002</v>
      </c>
      <c r="J8" s="58">
        <v>2.2050000000000001</v>
      </c>
      <c r="K8" s="58">
        <f t="shared" si="0"/>
        <v>2.2048000000000001</v>
      </c>
      <c r="L8" s="58">
        <f t="shared" si="1"/>
        <v>2.2050000000000001</v>
      </c>
      <c r="M8" s="58">
        <f t="shared" si="2"/>
        <v>2.2048000000000001</v>
      </c>
      <c r="N8" s="58">
        <f t="shared" si="3"/>
        <v>0</v>
      </c>
      <c r="O8" s="58">
        <f t="shared" si="4"/>
        <v>1.9999999999997797E-4</v>
      </c>
      <c r="P8" s="58"/>
      <c r="Q8" s="84">
        <v>135</v>
      </c>
      <c r="R8" s="84">
        <v>135</v>
      </c>
      <c r="S8" s="84">
        <v>135</v>
      </c>
      <c r="T8" s="84">
        <v>135</v>
      </c>
      <c r="U8" s="84">
        <v>135</v>
      </c>
      <c r="V8" s="84">
        <v>135</v>
      </c>
      <c r="W8" s="84">
        <v>135</v>
      </c>
      <c r="X8" s="84">
        <v>135</v>
      </c>
      <c r="Y8" s="58">
        <f>AVERAGE(C6,C8)-AVERAGE(C$4,C$10)</f>
        <v>1.5000000000053859E-4</v>
      </c>
      <c r="Z8" s="58">
        <f t="shared" ref="Z8:AF8" si="9">AVERAGE(D6,D8)-AVERAGE(D$4,D$10)</f>
        <v>7.5000000000269296E-5</v>
      </c>
      <c r="AA8" s="58">
        <f t="shared" si="9"/>
        <v>2.4999999999941735E-5</v>
      </c>
      <c r="AB8" s="58">
        <f t="shared" si="9"/>
        <v>1.0000000000021103E-4</v>
      </c>
      <c r="AC8" s="58">
        <f t="shared" si="9"/>
        <v>2.7499999999980318E-4</v>
      </c>
      <c r="AD8" s="58">
        <f t="shared" si="9"/>
        <v>1.0000000000021103E-4</v>
      </c>
      <c r="AE8" s="58">
        <f t="shared" si="9"/>
        <v>1.7500000000003624E-4</v>
      </c>
      <c r="AF8" s="58">
        <f t="shared" si="9"/>
        <v>3.9999999999995595E-4</v>
      </c>
    </row>
    <row r="9" spans="1:33" s="9" customFormat="1">
      <c r="A9" s="84"/>
      <c r="B9" s="84">
        <v>160.25</v>
      </c>
      <c r="C9" s="58">
        <v>2.2048000000000001</v>
      </c>
      <c r="D9" s="58">
        <v>2.2048000000000001</v>
      </c>
      <c r="E9" s="58">
        <v>2.2050000000000001</v>
      </c>
      <c r="F9" s="58">
        <v>2.2048000000000001</v>
      </c>
      <c r="G9" s="58">
        <v>2.2048000000000001</v>
      </c>
      <c r="H9" s="58">
        <v>2.2048999999999999</v>
      </c>
      <c r="I9" s="58">
        <v>2.2049500000000002</v>
      </c>
      <c r="J9" s="58">
        <v>2.2048000000000001</v>
      </c>
      <c r="K9" s="58">
        <f t="shared" si="0"/>
        <v>2.2048000000000001</v>
      </c>
      <c r="L9" s="58">
        <f t="shared" si="1"/>
        <v>2.2050000000000001</v>
      </c>
      <c r="M9" s="58">
        <f t="shared" si="2"/>
        <v>2.2048000000000001</v>
      </c>
      <c r="N9" s="58">
        <f t="shared" si="3"/>
        <v>0</v>
      </c>
      <c r="O9" s="58">
        <f t="shared" si="4"/>
        <v>1.9999999999997797E-4</v>
      </c>
      <c r="P9" s="58"/>
      <c r="Q9" s="84">
        <v>160.25</v>
      </c>
      <c r="R9" s="84">
        <v>160.25</v>
      </c>
      <c r="S9" s="84">
        <v>160.25</v>
      </c>
      <c r="T9" s="84">
        <v>160.25</v>
      </c>
      <c r="U9" s="84">
        <v>160.25</v>
      </c>
      <c r="V9" s="84">
        <v>160.25</v>
      </c>
      <c r="W9" s="84">
        <v>160.25</v>
      </c>
      <c r="X9" s="84">
        <v>160.25</v>
      </c>
      <c r="Y9" s="58">
        <f>AVERAGE(C5,C9)-AVERAGE(C$4,C$10)</f>
        <v>1.2500000000059686E-4</v>
      </c>
      <c r="Z9" s="58">
        <f t="shared" ref="Z9:AF9" si="10">AVERAGE(D5,D9)-AVERAGE(D$4,D$10)</f>
        <v>4.9999999999883471E-5</v>
      </c>
      <c r="AA9" s="58">
        <f t="shared" si="10"/>
        <v>-4.9999999999883471E-5</v>
      </c>
      <c r="AB9" s="58">
        <f t="shared" si="10"/>
        <v>7.5000000000269296E-5</v>
      </c>
      <c r="AC9" s="58">
        <f t="shared" si="10"/>
        <v>1.9999999999997797E-4</v>
      </c>
      <c r="AD9" s="58">
        <f t="shared" si="10"/>
        <v>1.0000000000021103E-4</v>
      </c>
      <c r="AE9" s="58">
        <f t="shared" si="10"/>
        <v>1.7500000000003624E-4</v>
      </c>
      <c r="AF9" s="58">
        <f t="shared" si="10"/>
        <v>1.9999999999997797E-4</v>
      </c>
    </row>
    <row r="10" spans="1:33" s="9" customFormat="1">
      <c r="A10" s="84"/>
      <c r="B10" s="84">
        <v>175</v>
      </c>
      <c r="C10" s="58">
        <v>2.2046999999999999</v>
      </c>
      <c r="D10" s="58">
        <v>2.2048000000000001</v>
      </c>
      <c r="E10" s="58">
        <v>2.2049500000000002</v>
      </c>
      <c r="F10" s="58">
        <v>2.2048000000000001</v>
      </c>
      <c r="G10" s="58">
        <v>2.2046000000000001</v>
      </c>
      <c r="H10" s="58">
        <v>2.2048000000000001</v>
      </c>
      <c r="I10" s="58">
        <v>2.2048000000000001</v>
      </c>
      <c r="J10" s="58">
        <v>2.2046000000000001</v>
      </c>
      <c r="K10" s="58">
        <f t="shared" si="0"/>
        <v>2.2046000000000001</v>
      </c>
      <c r="L10" s="58">
        <f t="shared" si="1"/>
        <v>2.2049500000000002</v>
      </c>
      <c r="M10" s="58">
        <f t="shared" si="2"/>
        <v>2.2048000000000001</v>
      </c>
      <c r="N10" s="58">
        <f t="shared" si="3"/>
        <v>-1.9999999999997797E-4</v>
      </c>
      <c r="O10" s="58">
        <f t="shared" si="4"/>
        <v>1.500000000000945E-4</v>
      </c>
      <c r="P10" s="58"/>
      <c r="Q10" s="84">
        <v>175</v>
      </c>
      <c r="R10" s="84">
        <v>175</v>
      </c>
      <c r="S10" s="84">
        <v>175</v>
      </c>
      <c r="T10" s="84">
        <v>175</v>
      </c>
      <c r="U10" s="84">
        <v>175</v>
      </c>
      <c r="V10" s="84">
        <v>175</v>
      </c>
      <c r="W10" s="84">
        <v>175</v>
      </c>
      <c r="X10" s="84">
        <v>175</v>
      </c>
      <c r="Y10" s="58">
        <f>AVERAGE(C4,C10)-AVERAGE(C$4,C$10)</f>
        <v>0</v>
      </c>
      <c r="Z10" s="58">
        <f t="shared" ref="Z10:AF10" si="11">AVERAGE(D4,D10)-AVERAGE(D$4,D$10)</f>
        <v>0</v>
      </c>
      <c r="AA10" s="58">
        <f t="shared" si="11"/>
        <v>0</v>
      </c>
      <c r="AB10" s="58">
        <f t="shared" si="11"/>
        <v>0</v>
      </c>
      <c r="AC10" s="58">
        <f t="shared" si="11"/>
        <v>0</v>
      </c>
      <c r="AD10" s="58">
        <f t="shared" si="11"/>
        <v>0</v>
      </c>
      <c r="AE10" s="58">
        <f t="shared" si="11"/>
        <v>0</v>
      </c>
      <c r="AF10" s="58">
        <f t="shared" si="11"/>
        <v>0</v>
      </c>
    </row>
    <row r="11" spans="1:33" s="9" customFormat="1">
      <c r="P11" s="9" t="s">
        <v>367</v>
      </c>
      <c r="Q11" s="84">
        <v>5</v>
      </c>
      <c r="R11" s="84">
        <v>5</v>
      </c>
      <c r="S11" s="84">
        <v>5</v>
      </c>
      <c r="T11" s="84">
        <v>5</v>
      </c>
      <c r="U11" s="84">
        <v>5</v>
      </c>
      <c r="V11" s="84">
        <v>5</v>
      </c>
      <c r="W11" s="84">
        <v>5</v>
      </c>
      <c r="X11" s="84">
        <v>5</v>
      </c>
      <c r="Y11" s="58">
        <f>Y4-'OEM Rod Bolts'!$AG4</f>
        <v>0</v>
      </c>
      <c r="Z11" s="58">
        <f>Z4-'OEM Rod Bolts'!$AG4</f>
        <v>0</v>
      </c>
      <c r="AA11" s="58">
        <f>AA4-'OEM Rod Bolts'!$AG4</f>
        <v>0</v>
      </c>
      <c r="AB11" s="58">
        <f>AB4-'OEM Rod Bolts'!$AG4</f>
        <v>0</v>
      </c>
      <c r="AC11" s="58">
        <f>AC4-'OEM Rod Bolts'!$AG4</f>
        <v>0</v>
      </c>
      <c r="AD11" s="58">
        <f>AD4-'OEM Rod Bolts'!$AG4</f>
        <v>0</v>
      </c>
      <c r="AE11" s="58">
        <f>AE4-'OEM Rod Bolts'!$AG4</f>
        <v>0</v>
      </c>
      <c r="AF11" s="58">
        <f>AF4-'OEM Rod Bolts'!$AG4</f>
        <v>0</v>
      </c>
      <c r="AG11" s="9" t="s">
        <v>367</v>
      </c>
    </row>
    <row r="12" spans="1:33" s="9" customFormat="1">
      <c r="P12" s="9" t="s">
        <v>367</v>
      </c>
      <c r="Q12" s="84">
        <v>19.75</v>
      </c>
      <c r="R12" s="84">
        <v>19.75</v>
      </c>
      <c r="S12" s="84">
        <v>19.75</v>
      </c>
      <c r="T12" s="84">
        <v>19.75</v>
      </c>
      <c r="U12" s="84">
        <v>19.75</v>
      </c>
      <c r="V12" s="84">
        <v>19.75</v>
      </c>
      <c r="W12" s="84">
        <v>19.75</v>
      </c>
      <c r="X12" s="84">
        <v>19.75</v>
      </c>
      <c r="Y12" s="58">
        <f>Y5-'OEM Rod Bolts'!$AG5</f>
        <v>1.6562500000072422E-4</v>
      </c>
      <c r="Z12" s="58">
        <f>Z5-'OEM Rod Bolts'!$AG5</f>
        <v>9.0625000000010836E-5</v>
      </c>
      <c r="AA12" s="58">
        <f>AA5-'OEM Rod Bolts'!$AG5</f>
        <v>-9.3749999997561062E-6</v>
      </c>
      <c r="AB12" s="58">
        <f>AB5-'OEM Rod Bolts'!$AG5</f>
        <v>1.1562500000039666E-4</v>
      </c>
      <c r="AC12" s="58">
        <f>AC5-'OEM Rod Bolts'!$AG5</f>
        <v>2.4062500000010534E-4</v>
      </c>
      <c r="AD12" s="58">
        <f>AD5-'OEM Rod Bolts'!$AG5</f>
        <v>1.406250000003384E-4</v>
      </c>
      <c r="AE12" s="58">
        <f>AE5-'OEM Rod Bolts'!$AG5</f>
        <v>2.156250000001636E-4</v>
      </c>
      <c r="AF12" s="58">
        <f>AF5-'OEM Rod Bolts'!$AG5</f>
        <v>2.4062500000010534E-4</v>
      </c>
      <c r="AG12" s="9" t="s">
        <v>367</v>
      </c>
    </row>
    <row r="13" spans="1:33" s="9" customFormat="1">
      <c r="P13" s="9" t="s">
        <v>367</v>
      </c>
      <c r="Q13" s="84">
        <v>45</v>
      </c>
      <c r="R13" s="84">
        <v>45</v>
      </c>
      <c r="S13" s="84">
        <v>45</v>
      </c>
      <c r="T13" s="84">
        <v>45</v>
      </c>
      <c r="U13" s="84">
        <v>45</v>
      </c>
      <c r="V13" s="84">
        <v>45</v>
      </c>
      <c r="W13" s="84">
        <v>45</v>
      </c>
      <c r="X13" s="84">
        <v>45</v>
      </c>
      <c r="Y13" s="58">
        <f>Y6-'OEM Rod Bolts'!$AG6</f>
        <v>3.0312500000051479E-4</v>
      </c>
      <c r="Z13" s="58">
        <f>Z6-'OEM Rod Bolts'!$AG6</f>
        <v>2.2812500000024549E-4</v>
      </c>
      <c r="AA13" s="58">
        <f>AA6-'OEM Rod Bolts'!$AG6</f>
        <v>1.7812499999991793E-4</v>
      </c>
      <c r="AB13" s="58">
        <f>AB6-'OEM Rod Bolts'!$AG6</f>
        <v>2.5312500000018723E-4</v>
      </c>
      <c r="AC13" s="58">
        <f>AC6-'OEM Rod Bolts'!$AG6</f>
        <v>4.2812499999977938E-4</v>
      </c>
      <c r="AD13" s="58">
        <f>AD6-'OEM Rod Bolts'!$AG6</f>
        <v>2.5312500000018723E-4</v>
      </c>
      <c r="AE13" s="58">
        <f>AE6-'OEM Rod Bolts'!$AG6</f>
        <v>3.2812500000001243E-4</v>
      </c>
      <c r="AF13" s="58">
        <f>AF6-'OEM Rod Bolts'!$AG6</f>
        <v>5.5312499999993214E-4</v>
      </c>
      <c r="AG13" s="9" t="s">
        <v>367</v>
      </c>
    </row>
    <row r="14" spans="1:33" s="9" customFormat="1">
      <c r="P14" s="9" t="s">
        <v>367</v>
      </c>
      <c r="Q14" s="84">
        <v>90</v>
      </c>
      <c r="R14" s="84">
        <v>90</v>
      </c>
      <c r="S14" s="84">
        <v>90</v>
      </c>
      <c r="T14" s="84">
        <v>90</v>
      </c>
      <c r="U14" s="84">
        <v>90</v>
      </c>
      <c r="V14" s="84">
        <v>90</v>
      </c>
      <c r="W14" s="84">
        <v>90</v>
      </c>
      <c r="X14" s="84">
        <v>90</v>
      </c>
      <c r="Y14" s="58">
        <f>Y7-'OEM Rod Bolts'!$AG7</f>
        <v>3.7500000000006972E-4</v>
      </c>
      <c r="Z14" s="58">
        <f>Z7-'OEM Rod Bolts'!$AG7</f>
        <v>3.2499999999974216E-4</v>
      </c>
      <c r="AA14" s="58">
        <f>AA7-'OEM Rod Bolts'!$AG7</f>
        <v>2.7499999999985869E-4</v>
      </c>
      <c r="AB14" s="58">
        <f>AB7-'OEM Rod Bolts'!$AG7</f>
        <v>4.2499999999995319E-4</v>
      </c>
      <c r="AC14" s="58">
        <f>AC7-'OEM Rod Bolts'!$AG7</f>
        <v>6.2499999999993117E-4</v>
      </c>
      <c r="AD14" s="58">
        <f>AD7-'OEM Rod Bolts'!$AG7</f>
        <v>3.2500000000018625E-4</v>
      </c>
      <c r="AE14" s="58">
        <f>AE7-'OEM Rod Bolts'!$AG7</f>
        <v>5.2499999999972013E-4</v>
      </c>
      <c r="AF14" s="58">
        <f>AF7-'OEM Rod Bolts'!$AG7</f>
        <v>7.2499999999969811E-4</v>
      </c>
      <c r="AG14" s="9" t="s">
        <v>367</v>
      </c>
    </row>
    <row r="15" spans="1:33" s="9" customFormat="1">
      <c r="P15" s="9" t="s">
        <v>367</v>
      </c>
      <c r="Q15" s="84">
        <v>135</v>
      </c>
      <c r="R15" s="84">
        <v>135</v>
      </c>
      <c r="S15" s="84">
        <v>135</v>
      </c>
      <c r="T15" s="84">
        <v>135</v>
      </c>
      <c r="U15" s="84">
        <v>135</v>
      </c>
      <c r="V15" s="84">
        <v>135</v>
      </c>
      <c r="W15" s="84">
        <v>135</v>
      </c>
      <c r="X15" s="84">
        <v>135</v>
      </c>
      <c r="Y15" s="58">
        <f>Y8-'OEM Rod Bolts'!$AG8</f>
        <v>3.0312500000051479E-4</v>
      </c>
      <c r="Z15" s="58">
        <f>Z8-'OEM Rod Bolts'!$AG8</f>
        <v>2.2812500000024549E-4</v>
      </c>
      <c r="AA15" s="58">
        <f>AA8-'OEM Rod Bolts'!$AG8</f>
        <v>1.7812499999991793E-4</v>
      </c>
      <c r="AB15" s="58">
        <f>AB8-'OEM Rod Bolts'!$AG8</f>
        <v>2.5312500000018723E-4</v>
      </c>
      <c r="AC15" s="58">
        <f>AC8-'OEM Rod Bolts'!$AG8</f>
        <v>4.2812499999977938E-4</v>
      </c>
      <c r="AD15" s="58">
        <f>AD8-'OEM Rod Bolts'!$AG8</f>
        <v>2.5312500000018723E-4</v>
      </c>
      <c r="AE15" s="58">
        <f>AE8-'OEM Rod Bolts'!$AG8</f>
        <v>3.2812500000001243E-4</v>
      </c>
      <c r="AF15" s="58">
        <f>AF8-'OEM Rod Bolts'!$AG8</f>
        <v>5.5312499999993214E-4</v>
      </c>
      <c r="AG15" s="9" t="s">
        <v>367</v>
      </c>
    </row>
    <row r="16" spans="1:33" s="9" customFormat="1">
      <c r="P16" s="9" t="s">
        <v>367</v>
      </c>
      <c r="Q16" s="84">
        <v>160.25</v>
      </c>
      <c r="R16" s="84">
        <v>160.25</v>
      </c>
      <c r="S16" s="84">
        <v>160.25</v>
      </c>
      <c r="T16" s="84">
        <v>160.25</v>
      </c>
      <c r="U16" s="84">
        <v>160.25</v>
      </c>
      <c r="V16" s="84">
        <v>160.25</v>
      </c>
      <c r="W16" s="84">
        <v>160.25</v>
      </c>
      <c r="X16" s="84">
        <v>160.25</v>
      </c>
      <c r="Y16" s="58">
        <f>Y9-'OEM Rod Bolts'!$AG9</f>
        <v>1.6562500000072422E-4</v>
      </c>
      <c r="Z16" s="58">
        <f>Z9-'OEM Rod Bolts'!$AG9</f>
        <v>9.0625000000010836E-5</v>
      </c>
      <c r="AA16" s="58">
        <f>AA9-'OEM Rod Bolts'!$AG9</f>
        <v>-9.3749999997561062E-6</v>
      </c>
      <c r="AB16" s="58">
        <f>AB9-'OEM Rod Bolts'!$AG9</f>
        <v>1.1562500000039666E-4</v>
      </c>
      <c r="AC16" s="58">
        <f>AC9-'OEM Rod Bolts'!$AG9</f>
        <v>2.4062500000010534E-4</v>
      </c>
      <c r="AD16" s="58">
        <f>AD9-'OEM Rod Bolts'!$AG9</f>
        <v>1.406250000003384E-4</v>
      </c>
      <c r="AE16" s="58">
        <f>AE9-'OEM Rod Bolts'!$AG9</f>
        <v>2.156250000001636E-4</v>
      </c>
      <c r="AF16" s="58">
        <f>AF9-'OEM Rod Bolts'!$AG9</f>
        <v>2.4062500000010534E-4</v>
      </c>
      <c r="AG16" s="9" t="s">
        <v>367</v>
      </c>
    </row>
    <row r="17" spans="1:33" s="9" customFormat="1">
      <c r="C17" s="83"/>
      <c r="D17" s="83"/>
      <c r="E17" s="83"/>
      <c r="F17" s="83"/>
      <c r="G17" s="83"/>
      <c r="H17" s="83"/>
      <c r="I17" s="83"/>
      <c r="J17" s="83"/>
      <c r="K17" s="58"/>
      <c r="L17" s="58"/>
      <c r="M17" s="58"/>
      <c r="N17" s="58"/>
      <c r="O17" s="58"/>
      <c r="P17" s="9" t="s">
        <v>367</v>
      </c>
      <c r="Q17" s="84">
        <v>175</v>
      </c>
      <c r="R17" s="84">
        <v>175</v>
      </c>
      <c r="S17" s="84">
        <v>175</v>
      </c>
      <c r="T17" s="84">
        <v>175</v>
      </c>
      <c r="U17" s="84">
        <v>175</v>
      </c>
      <c r="V17" s="84">
        <v>175</v>
      </c>
      <c r="W17" s="84">
        <v>175</v>
      </c>
      <c r="X17" s="84">
        <v>175</v>
      </c>
      <c r="Y17" s="58">
        <f>Y10-'OEM Rod Bolts'!$AG10</f>
        <v>0</v>
      </c>
      <c r="Z17" s="58">
        <f>Z10-'OEM Rod Bolts'!$AG10</f>
        <v>0</v>
      </c>
      <c r="AA17" s="58">
        <f>AA10-'OEM Rod Bolts'!$AG10</f>
        <v>0</v>
      </c>
      <c r="AB17" s="58">
        <f>AB10-'OEM Rod Bolts'!$AG10</f>
        <v>0</v>
      </c>
      <c r="AC17" s="58">
        <f>AC10-'OEM Rod Bolts'!$AG10</f>
        <v>0</v>
      </c>
      <c r="AD17" s="58">
        <f>AD10-'OEM Rod Bolts'!$AG10</f>
        <v>0</v>
      </c>
      <c r="AE17" s="58">
        <f>AE10-'OEM Rod Bolts'!$AG10</f>
        <v>0</v>
      </c>
      <c r="AF17" s="58">
        <f>AF10-'OEM Rod Bolts'!$AG10</f>
        <v>0</v>
      </c>
      <c r="AG17" s="9" t="s">
        <v>367</v>
      </c>
    </row>
    <row r="18" spans="1:33" s="9" customFormat="1">
      <c r="A18" s="9" t="s">
        <v>400</v>
      </c>
      <c r="C18" s="83"/>
      <c r="D18" s="83"/>
      <c r="E18" s="83"/>
      <c r="F18" s="83"/>
      <c r="G18" s="83"/>
      <c r="H18" s="83"/>
      <c r="I18" s="83"/>
      <c r="J18" s="8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33" s="9" customFormat="1">
      <c r="A19" s="58"/>
      <c r="B19" s="9" t="s">
        <v>241</v>
      </c>
      <c r="C19" s="58">
        <v>72.900000000000006</v>
      </c>
      <c r="D19" s="58">
        <v>72.900000000000006</v>
      </c>
      <c r="E19" s="58">
        <v>72.599999999999994</v>
      </c>
      <c r="F19" s="58">
        <v>72.8</v>
      </c>
      <c r="G19" s="58">
        <v>72.5</v>
      </c>
      <c r="H19" s="58">
        <v>73.2</v>
      </c>
      <c r="I19" s="58">
        <v>73.2</v>
      </c>
      <c r="J19" s="58">
        <v>72.7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Y19" s="101" t="s">
        <v>270</v>
      </c>
      <c r="Z19" s="101"/>
      <c r="AA19" s="101"/>
      <c r="AB19" s="101"/>
      <c r="AC19" s="101"/>
      <c r="AD19" s="101"/>
      <c r="AE19" s="101"/>
      <c r="AF19" s="101"/>
    </row>
    <row r="20" spans="1:33" s="9" customFormat="1">
      <c r="A20" s="58"/>
      <c r="B20" s="9" t="s">
        <v>364</v>
      </c>
      <c r="C20" s="83" t="s">
        <v>175</v>
      </c>
      <c r="D20" s="83" t="s">
        <v>176</v>
      </c>
      <c r="E20" s="83" t="s">
        <v>177</v>
      </c>
      <c r="F20" s="83" t="s">
        <v>178</v>
      </c>
      <c r="G20" s="83" t="s">
        <v>179</v>
      </c>
      <c r="H20" s="83" t="s">
        <v>180</v>
      </c>
      <c r="I20" s="83" t="s">
        <v>181</v>
      </c>
      <c r="J20" s="83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P20" s="53"/>
      <c r="Q20" s="53"/>
      <c r="R20" s="53"/>
      <c r="S20" s="53"/>
      <c r="T20" s="53"/>
      <c r="U20" s="53"/>
      <c r="Y20" s="88" t="s">
        <v>175</v>
      </c>
      <c r="Z20" s="88" t="s">
        <v>176</v>
      </c>
      <c r="AA20" s="88" t="s">
        <v>177</v>
      </c>
      <c r="AB20" s="88" t="s">
        <v>178</v>
      </c>
      <c r="AC20" s="88" t="s">
        <v>179</v>
      </c>
      <c r="AD20" s="88" t="s">
        <v>180</v>
      </c>
      <c r="AE20" s="88" t="s">
        <v>181</v>
      </c>
      <c r="AF20" s="88" t="s">
        <v>182</v>
      </c>
    </row>
    <row r="21" spans="1:33" s="9" customFormat="1">
      <c r="A21" s="84"/>
      <c r="B21" s="84">
        <v>5</v>
      </c>
      <c r="C21" s="58">
        <v>2.2048999999999999</v>
      </c>
      <c r="D21" s="58">
        <v>2.2048999999999999</v>
      </c>
      <c r="E21" s="58">
        <v>2.2049500000000002</v>
      </c>
      <c r="F21" s="58">
        <v>2.2048999999999999</v>
      </c>
      <c r="G21" s="58">
        <v>2.20485</v>
      </c>
      <c r="H21" s="58">
        <v>2.2050000000000001</v>
      </c>
      <c r="I21" s="58">
        <v>2.2050000000000001</v>
      </c>
      <c r="J21" s="58">
        <v>2.20485</v>
      </c>
      <c r="K21" s="58">
        <f t="shared" ref="K21:K27" si="12">MIN(C21:J21)</f>
        <v>2.20485</v>
      </c>
      <c r="L21" s="58">
        <f t="shared" ref="L21:L27" si="13">MAX(C21:J21)</f>
        <v>2.2050000000000001</v>
      </c>
      <c r="M21" s="58">
        <f t="shared" ref="M21:M27" si="14">MODE(C21:J21)</f>
        <v>2.2048999999999999</v>
      </c>
      <c r="N21" s="58">
        <f t="shared" ref="N21:N27" si="15">K21-M21</f>
        <v>-4.9999999999883471E-5</v>
      </c>
      <c r="O21" s="58">
        <f t="shared" ref="O21:O27" si="16">L21-M21</f>
        <v>1.0000000000021103E-4</v>
      </c>
      <c r="P21" s="58"/>
      <c r="Q21" s="84">
        <v>5</v>
      </c>
      <c r="R21" s="84">
        <v>5</v>
      </c>
      <c r="S21" s="84">
        <v>5</v>
      </c>
      <c r="T21" s="84">
        <v>5</v>
      </c>
      <c r="U21" s="84">
        <v>5</v>
      </c>
      <c r="V21" s="84">
        <v>5</v>
      </c>
      <c r="W21" s="84">
        <v>5</v>
      </c>
      <c r="X21" s="84">
        <v>5</v>
      </c>
      <c r="Y21" s="58">
        <f>AVERAGE(C21,C27)-AVERAGE(C$21,C$27)</f>
        <v>0</v>
      </c>
      <c r="Z21" s="58">
        <f t="shared" ref="Z21:AF21" si="17">AVERAGE(D21,D27)-AVERAGE(D$21,D$27)</f>
        <v>0</v>
      </c>
      <c r="AA21" s="58">
        <f t="shared" si="17"/>
        <v>0</v>
      </c>
      <c r="AB21" s="58">
        <f t="shared" si="17"/>
        <v>0</v>
      </c>
      <c r="AC21" s="58">
        <f t="shared" si="17"/>
        <v>0</v>
      </c>
      <c r="AD21" s="58">
        <f t="shared" si="17"/>
        <v>0</v>
      </c>
      <c r="AE21" s="58">
        <f t="shared" si="17"/>
        <v>0</v>
      </c>
      <c r="AF21" s="58">
        <f t="shared" si="17"/>
        <v>0</v>
      </c>
    </row>
    <row r="22" spans="1:33" s="9" customFormat="1">
      <c r="A22" s="84"/>
      <c r="B22" s="84">
        <v>19.75</v>
      </c>
      <c r="C22" s="58">
        <v>2.2050000000000001</v>
      </c>
      <c r="D22" s="58">
        <v>2.2048999999999999</v>
      </c>
      <c r="E22" s="58">
        <v>2.2048000000000001</v>
      </c>
      <c r="F22" s="58">
        <v>2.2048999999999999</v>
      </c>
      <c r="G22" s="58">
        <v>2.20485</v>
      </c>
      <c r="H22" s="58">
        <v>2.2048999999999999</v>
      </c>
      <c r="I22" s="58">
        <v>2.20485</v>
      </c>
      <c r="J22" s="58">
        <v>2.20485</v>
      </c>
      <c r="K22" s="58">
        <f t="shared" si="12"/>
        <v>2.2048000000000001</v>
      </c>
      <c r="L22" s="58">
        <f t="shared" si="13"/>
        <v>2.2050000000000001</v>
      </c>
      <c r="M22" s="58">
        <f t="shared" si="14"/>
        <v>2.2048999999999999</v>
      </c>
      <c r="N22" s="58">
        <f t="shared" si="15"/>
        <v>-9.9999999999766942E-5</v>
      </c>
      <c r="O22" s="58">
        <f t="shared" si="16"/>
        <v>1.0000000000021103E-4</v>
      </c>
      <c r="P22" s="58"/>
      <c r="Q22" s="84">
        <v>19.75</v>
      </c>
      <c r="R22" s="84">
        <v>19.75</v>
      </c>
      <c r="S22" s="84">
        <v>19.75</v>
      </c>
      <c r="T22" s="84">
        <v>19.75</v>
      </c>
      <c r="U22" s="84">
        <v>19.75</v>
      </c>
      <c r="V22" s="84">
        <v>19.75</v>
      </c>
      <c r="W22" s="84">
        <v>19.75</v>
      </c>
      <c r="X22" s="84">
        <v>19.75</v>
      </c>
      <c r="Y22" s="58">
        <f>AVERAGE(C22,C26)-AVERAGE(C$21,C$27)</f>
        <v>0</v>
      </c>
      <c r="Z22" s="58">
        <f t="shared" ref="Z22:AF22" si="18">AVERAGE(D22,D26)-AVERAGE(D$21,D$27)</f>
        <v>-1.0000000000021103E-4</v>
      </c>
      <c r="AA22" s="58">
        <f t="shared" si="18"/>
        <v>-1.2500000000015277E-4</v>
      </c>
      <c r="AB22" s="58">
        <f t="shared" si="18"/>
        <v>-2.4999999999941735E-5</v>
      </c>
      <c r="AC22" s="58">
        <f t="shared" si="18"/>
        <v>0</v>
      </c>
      <c r="AD22" s="58">
        <f t="shared" si="18"/>
        <v>-1.0000000000021103E-4</v>
      </c>
      <c r="AE22" s="58">
        <f t="shared" si="18"/>
        <v>-7.4999999999825206E-5</v>
      </c>
      <c r="AF22" s="58">
        <f t="shared" si="18"/>
        <v>0</v>
      </c>
    </row>
    <row r="23" spans="1:33" s="9" customFormat="1">
      <c r="A23" s="84"/>
      <c r="B23" s="84">
        <v>45</v>
      </c>
      <c r="C23" s="58">
        <v>2.2047500000000002</v>
      </c>
      <c r="D23" s="58">
        <v>2.2048000000000001</v>
      </c>
      <c r="E23" s="58">
        <v>2.2047500000000002</v>
      </c>
      <c r="F23" s="58">
        <v>2.2047500000000002</v>
      </c>
      <c r="G23" s="58">
        <v>2.20485</v>
      </c>
      <c r="H23" s="58">
        <v>2.2047500000000002</v>
      </c>
      <c r="I23" s="58">
        <v>2.2046999999999999</v>
      </c>
      <c r="J23" s="58">
        <v>2.2046000000000001</v>
      </c>
      <c r="K23" s="58">
        <f t="shared" si="12"/>
        <v>2.2046000000000001</v>
      </c>
      <c r="L23" s="58">
        <f t="shared" si="13"/>
        <v>2.20485</v>
      </c>
      <c r="M23" s="58">
        <f t="shared" si="14"/>
        <v>2.2047500000000002</v>
      </c>
      <c r="N23" s="58">
        <f t="shared" si="15"/>
        <v>-1.500000000000945E-4</v>
      </c>
      <c r="O23" s="58">
        <f t="shared" si="16"/>
        <v>9.9999999999766942E-5</v>
      </c>
      <c r="P23" s="58"/>
      <c r="Q23" s="84">
        <v>45</v>
      </c>
      <c r="R23" s="84">
        <v>45</v>
      </c>
      <c r="S23" s="84">
        <v>45</v>
      </c>
      <c r="T23" s="84">
        <v>45</v>
      </c>
      <c r="U23" s="84">
        <v>45</v>
      </c>
      <c r="V23" s="84">
        <v>45</v>
      </c>
      <c r="W23" s="84">
        <v>45</v>
      </c>
      <c r="X23" s="84">
        <v>45</v>
      </c>
      <c r="Y23" s="58">
        <f>AVERAGE(C23,C25)-AVERAGE(C$21,C$27)</f>
        <v>-1.7500000000003624E-4</v>
      </c>
      <c r="Z23" s="58">
        <f t="shared" ref="Z23:AF23" si="19">AVERAGE(D23,D25)-AVERAGE(D$21,D$27)</f>
        <v>-1.9999999999997797E-4</v>
      </c>
      <c r="AA23" s="58">
        <f t="shared" si="19"/>
        <v>-1.9999999999997797E-4</v>
      </c>
      <c r="AB23" s="58">
        <f t="shared" si="19"/>
        <v>-2.2499999999991971E-4</v>
      </c>
      <c r="AC23" s="58">
        <f t="shared" si="19"/>
        <v>-1.500000000000945E-4</v>
      </c>
      <c r="AD23" s="58">
        <f t="shared" si="19"/>
        <v>-3.00000000000189E-4</v>
      </c>
      <c r="AE23" s="58">
        <f t="shared" si="19"/>
        <v>-2.250000000003638E-4</v>
      </c>
      <c r="AF23" s="58">
        <f t="shared" si="19"/>
        <v>-2.2499999999991971E-4</v>
      </c>
    </row>
    <row r="24" spans="1:33" s="9" customFormat="1">
      <c r="A24" s="84"/>
      <c r="B24" s="84">
        <v>90</v>
      </c>
      <c r="C24" s="58">
        <v>2.2046000000000001</v>
      </c>
      <c r="D24" s="58">
        <v>2.2046000000000001</v>
      </c>
      <c r="E24" s="58">
        <v>2.2047500000000002</v>
      </c>
      <c r="F24" s="58">
        <v>2.2046000000000001</v>
      </c>
      <c r="G24" s="58">
        <v>2.2046999999999999</v>
      </c>
      <c r="H24" s="58">
        <v>2.2046000000000001</v>
      </c>
      <c r="I24" s="58">
        <v>2.2046000000000001</v>
      </c>
      <c r="J24" s="58">
        <v>2.2046000000000001</v>
      </c>
      <c r="K24" s="58">
        <f t="shared" si="12"/>
        <v>2.2046000000000001</v>
      </c>
      <c r="L24" s="58">
        <f t="shared" si="13"/>
        <v>2.2047500000000002</v>
      </c>
      <c r="M24" s="58">
        <f t="shared" si="14"/>
        <v>2.2046000000000001</v>
      </c>
      <c r="N24" s="58">
        <f t="shared" si="15"/>
        <v>0</v>
      </c>
      <c r="O24" s="58">
        <f t="shared" si="16"/>
        <v>1.500000000000945E-4</v>
      </c>
      <c r="P24" s="58"/>
      <c r="Q24" s="84">
        <v>90</v>
      </c>
      <c r="R24" s="84">
        <v>90</v>
      </c>
      <c r="S24" s="84">
        <v>90</v>
      </c>
      <c r="T24" s="84">
        <v>90</v>
      </c>
      <c r="U24" s="84">
        <v>90</v>
      </c>
      <c r="V24" s="84">
        <v>90</v>
      </c>
      <c r="W24" s="84">
        <v>90</v>
      </c>
      <c r="X24" s="84">
        <v>90</v>
      </c>
      <c r="Y24" s="58">
        <f>C24-AVERAGE(C$21,C$27)</f>
        <v>-2.4999999999986144E-4</v>
      </c>
      <c r="Z24" s="58">
        <f t="shared" ref="Z24:AF24" si="20">D24-AVERAGE(D$21,D$27)</f>
        <v>-2.9999999999974492E-4</v>
      </c>
      <c r="AA24" s="58">
        <f t="shared" si="20"/>
        <v>-2.2499999999991971E-4</v>
      </c>
      <c r="AB24" s="58">
        <f t="shared" si="20"/>
        <v>-2.9999999999974492E-4</v>
      </c>
      <c r="AC24" s="58">
        <f t="shared" si="20"/>
        <v>-1.7500000000003624E-4</v>
      </c>
      <c r="AD24" s="58">
        <f t="shared" si="20"/>
        <v>-3.7500000000001421E-4</v>
      </c>
      <c r="AE24" s="58">
        <f t="shared" si="20"/>
        <v>-3.7500000000001421E-4</v>
      </c>
      <c r="AF24" s="58">
        <f t="shared" si="20"/>
        <v>-2.2499999999991971E-4</v>
      </c>
    </row>
    <row r="25" spans="1:33" s="9" customFormat="1">
      <c r="A25" s="84"/>
      <c r="B25" s="84">
        <v>135</v>
      </c>
      <c r="C25" s="58">
        <v>2.2046000000000001</v>
      </c>
      <c r="D25" s="58">
        <v>2.2046000000000001</v>
      </c>
      <c r="E25" s="58">
        <v>2.2048000000000001</v>
      </c>
      <c r="F25" s="58">
        <v>2.2046000000000001</v>
      </c>
      <c r="G25" s="58">
        <v>2.2046000000000001</v>
      </c>
      <c r="H25" s="58">
        <v>2.2046000000000001</v>
      </c>
      <c r="I25" s="58">
        <v>2.2048000000000001</v>
      </c>
      <c r="J25" s="58">
        <v>2.2046000000000001</v>
      </c>
      <c r="K25" s="58">
        <f t="shared" si="12"/>
        <v>2.2046000000000001</v>
      </c>
      <c r="L25" s="58">
        <f t="shared" si="13"/>
        <v>2.2048000000000001</v>
      </c>
      <c r="M25" s="58">
        <f t="shared" si="14"/>
        <v>2.2046000000000001</v>
      </c>
      <c r="N25" s="58">
        <f t="shared" si="15"/>
        <v>0</v>
      </c>
      <c r="O25" s="58">
        <f t="shared" si="16"/>
        <v>1.9999999999997797E-4</v>
      </c>
      <c r="P25" s="58"/>
      <c r="Q25" s="84">
        <v>135</v>
      </c>
      <c r="R25" s="84">
        <v>135</v>
      </c>
      <c r="S25" s="84">
        <v>135</v>
      </c>
      <c r="T25" s="84">
        <v>135</v>
      </c>
      <c r="U25" s="84">
        <v>135</v>
      </c>
      <c r="V25" s="84">
        <v>135</v>
      </c>
      <c r="W25" s="84">
        <v>135</v>
      </c>
      <c r="X25" s="84">
        <v>135</v>
      </c>
      <c r="Y25" s="58">
        <f>AVERAGE(C23,C25)-AVERAGE(C$21,C$27)</f>
        <v>-1.7500000000003624E-4</v>
      </c>
      <c r="Z25" s="58">
        <f t="shared" ref="Z25:AF25" si="21">AVERAGE(D23,D25)-AVERAGE(D$21,D$27)</f>
        <v>-1.9999999999997797E-4</v>
      </c>
      <c r="AA25" s="58">
        <f t="shared" si="21"/>
        <v>-1.9999999999997797E-4</v>
      </c>
      <c r="AB25" s="58">
        <f t="shared" si="21"/>
        <v>-2.2499999999991971E-4</v>
      </c>
      <c r="AC25" s="58">
        <f t="shared" si="21"/>
        <v>-1.500000000000945E-4</v>
      </c>
      <c r="AD25" s="58">
        <f t="shared" si="21"/>
        <v>-3.00000000000189E-4</v>
      </c>
      <c r="AE25" s="58">
        <f t="shared" si="21"/>
        <v>-2.250000000003638E-4</v>
      </c>
      <c r="AF25" s="58">
        <f t="shared" si="21"/>
        <v>-2.2499999999991971E-4</v>
      </c>
    </row>
    <row r="26" spans="1:33" s="9" customFormat="1">
      <c r="A26" s="84"/>
      <c r="B26" s="84">
        <v>160.25</v>
      </c>
      <c r="C26" s="58">
        <v>2.2046999999999999</v>
      </c>
      <c r="D26" s="58">
        <v>2.2046999999999999</v>
      </c>
      <c r="E26" s="58">
        <v>2.2048999999999999</v>
      </c>
      <c r="F26" s="58">
        <v>2.20485</v>
      </c>
      <c r="G26" s="58">
        <v>2.2048999999999999</v>
      </c>
      <c r="H26" s="58">
        <v>2.20485</v>
      </c>
      <c r="I26" s="58">
        <v>2.2049500000000002</v>
      </c>
      <c r="J26" s="58">
        <v>2.2048000000000001</v>
      </c>
      <c r="K26" s="58">
        <f t="shared" si="12"/>
        <v>2.2046999999999999</v>
      </c>
      <c r="L26" s="58">
        <f t="shared" si="13"/>
        <v>2.2049500000000002</v>
      </c>
      <c r="M26" s="58">
        <f t="shared" si="14"/>
        <v>2.2046999999999999</v>
      </c>
      <c r="N26" s="58">
        <f t="shared" si="15"/>
        <v>0</v>
      </c>
      <c r="O26" s="58">
        <f t="shared" si="16"/>
        <v>2.5000000000030553E-4</v>
      </c>
      <c r="P26" s="58"/>
      <c r="Q26" s="84">
        <v>160.25</v>
      </c>
      <c r="R26" s="84">
        <v>160.25</v>
      </c>
      <c r="S26" s="84">
        <v>160.25</v>
      </c>
      <c r="T26" s="84">
        <v>160.25</v>
      </c>
      <c r="U26" s="84">
        <v>160.25</v>
      </c>
      <c r="V26" s="84">
        <v>160.25</v>
      </c>
      <c r="W26" s="84">
        <v>160.25</v>
      </c>
      <c r="X26" s="84">
        <v>160.25</v>
      </c>
      <c r="Y26" s="58">
        <f>AVERAGE(C22,C26)-AVERAGE(C$21,C$27)</f>
        <v>0</v>
      </c>
      <c r="Z26" s="58">
        <f t="shared" ref="Z26:AF26" si="22">AVERAGE(D22,D26)-AVERAGE(D$21,D$27)</f>
        <v>-1.0000000000021103E-4</v>
      </c>
      <c r="AA26" s="58">
        <f t="shared" si="22"/>
        <v>-1.2500000000015277E-4</v>
      </c>
      <c r="AB26" s="58">
        <f t="shared" si="22"/>
        <v>-2.4999999999941735E-5</v>
      </c>
      <c r="AC26" s="58">
        <f t="shared" si="22"/>
        <v>0</v>
      </c>
      <c r="AD26" s="58">
        <f t="shared" si="22"/>
        <v>-1.0000000000021103E-4</v>
      </c>
      <c r="AE26" s="58">
        <f t="shared" si="22"/>
        <v>-7.4999999999825206E-5</v>
      </c>
      <c r="AF26" s="58">
        <f t="shared" si="22"/>
        <v>0</v>
      </c>
    </row>
    <row r="27" spans="1:33" s="9" customFormat="1">
      <c r="A27" s="84"/>
      <c r="B27" s="84">
        <v>175</v>
      </c>
      <c r="C27" s="58">
        <v>2.2048000000000001</v>
      </c>
      <c r="D27" s="58">
        <v>2.2048999999999999</v>
      </c>
      <c r="E27" s="58">
        <v>2.2050000000000001</v>
      </c>
      <c r="F27" s="58">
        <v>2.2048999999999999</v>
      </c>
      <c r="G27" s="58">
        <v>2.2048999999999999</v>
      </c>
      <c r="H27" s="58">
        <v>2.2049500000000002</v>
      </c>
      <c r="I27" s="58">
        <v>2.2049500000000002</v>
      </c>
      <c r="J27" s="58">
        <v>2.2048000000000001</v>
      </c>
      <c r="K27" s="58">
        <f t="shared" si="12"/>
        <v>2.2048000000000001</v>
      </c>
      <c r="L27" s="58">
        <f t="shared" si="13"/>
        <v>2.2050000000000001</v>
      </c>
      <c r="M27" s="58">
        <f t="shared" si="14"/>
        <v>2.2048999999999999</v>
      </c>
      <c r="N27" s="58">
        <f t="shared" si="15"/>
        <v>-9.9999999999766942E-5</v>
      </c>
      <c r="O27" s="58">
        <f t="shared" si="16"/>
        <v>1.0000000000021103E-4</v>
      </c>
      <c r="P27" s="58"/>
      <c r="Q27" s="84">
        <v>175</v>
      </c>
      <c r="R27" s="84">
        <v>175</v>
      </c>
      <c r="S27" s="84">
        <v>175</v>
      </c>
      <c r="T27" s="84">
        <v>175</v>
      </c>
      <c r="U27" s="84">
        <v>175</v>
      </c>
      <c r="V27" s="84">
        <v>175</v>
      </c>
      <c r="W27" s="84">
        <v>175</v>
      </c>
      <c r="X27" s="84">
        <v>175</v>
      </c>
      <c r="Y27" s="58">
        <f>AVERAGE(C21,C27)-AVERAGE(C$21,C$27)</f>
        <v>0</v>
      </c>
      <c r="Z27" s="58">
        <f t="shared" ref="Z27:AF27" si="23">AVERAGE(D21,D27)-AVERAGE(D$21,D$27)</f>
        <v>0</v>
      </c>
      <c r="AA27" s="58">
        <f t="shared" si="23"/>
        <v>0</v>
      </c>
      <c r="AB27" s="58">
        <f t="shared" si="23"/>
        <v>0</v>
      </c>
      <c r="AC27" s="58">
        <f t="shared" si="23"/>
        <v>0</v>
      </c>
      <c r="AD27" s="58">
        <f t="shared" si="23"/>
        <v>0</v>
      </c>
      <c r="AE27" s="58">
        <f t="shared" si="23"/>
        <v>0</v>
      </c>
      <c r="AF27" s="58">
        <f t="shared" si="23"/>
        <v>0</v>
      </c>
    </row>
    <row r="28" spans="1:33" s="9" customFormat="1">
      <c r="P28" s="9" t="s">
        <v>367</v>
      </c>
      <c r="Q28" s="84">
        <v>5</v>
      </c>
      <c r="R28" s="84">
        <v>5</v>
      </c>
      <c r="S28" s="84">
        <v>5</v>
      </c>
      <c r="T28" s="84">
        <v>5</v>
      </c>
      <c r="U28" s="84">
        <v>5</v>
      </c>
      <c r="V28" s="84">
        <v>5</v>
      </c>
      <c r="W28" s="84">
        <v>5</v>
      </c>
      <c r="X28" s="84">
        <v>5</v>
      </c>
      <c r="Y28" s="58">
        <f>Y21-'OEM Rod Bolts'!$AG4</f>
        <v>0</v>
      </c>
      <c r="Z28" s="58">
        <f>Z21-'OEM Rod Bolts'!$AG4</f>
        <v>0</v>
      </c>
      <c r="AA28" s="58">
        <f>AA21-'OEM Rod Bolts'!$AG4</f>
        <v>0</v>
      </c>
      <c r="AB28" s="58">
        <f>AB21-'OEM Rod Bolts'!$AG4</f>
        <v>0</v>
      </c>
      <c r="AC28" s="58">
        <f>AC21-'OEM Rod Bolts'!$AG4</f>
        <v>0</v>
      </c>
      <c r="AD28" s="58">
        <f>AD21-'OEM Rod Bolts'!$AG4</f>
        <v>0</v>
      </c>
      <c r="AE28" s="58">
        <f>AE21-'OEM Rod Bolts'!$AG4</f>
        <v>0</v>
      </c>
      <c r="AF28" s="58">
        <f>AF21-'OEM Rod Bolts'!$AG4</f>
        <v>0</v>
      </c>
      <c r="AG28" s="9" t="s">
        <v>367</v>
      </c>
    </row>
    <row r="29" spans="1:33" s="9" customFormat="1">
      <c r="P29" s="9" t="s">
        <v>367</v>
      </c>
      <c r="Q29" s="84">
        <v>19.75</v>
      </c>
      <c r="R29" s="84">
        <v>19.75</v>
      </c>
      <c r="S29" s="84">
        <v>19.75</v>
      </c>
      <c r="T29" s="84">
        <v>19.75</v>
      </c>
      <c r="U29" s="84">
        <v>19.75</v>
      </c>
      <c r="V29" s="84">
        <v>19.75</v>
      </c>
      <c r="W29" s="84">
        <v>19.75</v>
      </c>
      <c r="X29" s="84">
        <v>19.75</v>
      </c>
      <c r="Y29" s="58">
        <f>Y22-'OEM Rod Bolts'!$AG5</f>
        <v>4.0625000000127365E-5</v>
      </c>
      <c r="Z29" s="58">
        <f>Z22-'OEM Rod Bolts'!$AG5</f>
        <v>-5.9375000000083666E-5</v>
      </c>
      <c r="AA29" s="58">
        <f>AA22-'OEM Rod Bolts'!$AG5</f>
        <v>-8.4375000000025402E-5</v>
      </c>
      <c r="AB29" s="58">
        <f>AB22-'OEM Rod Bolts'!$AG5</f>
        <v>1.5625000000185629E-5</v>
      </c>
      <c r="AC29" s="58">
        <f>AC22-'OEM Rod Bolts'!$AG5</f>
        <v>4.0625000000127365E-5</v>
      </c>
      <c r="AD29" s="58">
        <f>AD22-'OEM Rod Bolts'!$AG5</f>
        <v>-5.9375000000083666E-5</v>
      </c>
      <c r="AE29" s="58">
        <f>AE22-'OEM Rod Bolts'!$AG5</f>
        <v>-3.4374999999697842E-5</v>
      </c>
      <c r="AF29" s="58">
        <f>AF22-'OEM Rod Bolts'!$AG5</f>
        <v>4.0625000000127365E-5</v>
      </c>
      <c r="AG29" s="9" t="s">
        <v>367</v>
      </c>
    </row>
    <row r="30" spans="1:33" s="9" customFormat="1">
      <c r="P30" s="9" t="s">
        <v>367</v>
      </c>
      <c r="Q30" s="84">
        <v>45</v>
      </c>
      <c r="R30" s="84">
        <v>45</v>
      </c>
      <c r="S30" s="84">
        <v>45</v>
      </c>
      <c r="T30" s="84">
        <v>45</v>
      </c>
      <c r="U30" s="84">
        <v>45</v>
      </c>
      <c r="V30" s="84">
        <v>45</v>
      </c>
      <c r="W30" s="84">
        <v>45</v>
      </c>
      <c r="X30" s="84">
        <v>45</v>
      </c>
      <c r="Y30" s="58">
        <f>Y23-'OEM Rod Bolts'!$AG6</f>
        <v>-2.1875000000060041E-5</v>
      </c>
      <c r="Z30" s="58">
        <f>Z23-'OEM Rod Bolts'!$AG6</f>
        <v>-4.6875000000001776E-5</v>
      </c>
      <c r="AA30" s="58">
        <f>AA23-'OEM Rod Bolts'!$AG6</f>
        <v>-4.6875000000001776E-5</v>
      </c>
      <c r="AB30" s="58">
        <f>AB23-'OEM Rod Bolts'!$AG6</f>
        <v>-7.1874999999943512E-5</v>
      </c>
      <c r="AC30" s="58">
        <f>AC23-'OEM Rod Bolts'!$AG6</f>
        <v>3.1249999998816946E-6</v>
      </c>
      <c r="AD30" s="58">
        <f>AD23-'OEM Rod Bolts'!$AG6</f>
        <v>-1.4687500000021281E-4</v>
      </c>
      <c r="AE30" s="58">
        <f>AE23-'OEM Rod Bolts'!$AG6</f>
        <v>-7.1875000000387601E-5</v>
      </c>
      <c r="AF30" s="58">
        <f>AF23-'OEM Rod Bolts'!$AG6</f>
        <v>-7.1874999999943512E-5</v>
      </c>
      <c r="AG30" s="9" t="s">
        <v>367</v>
      </c>
    </row>
    <row r="31" spans="1:33" s="9" customFormat="1">
      <c r="P31" s="9" t="s">
        <v>367</v>
      </c>
      <c r="Q31" s="84">
        <v>90</v>
      </c>
      <c r="R31" s="84">
        <v>90</v>
      </c>
      <c r="S31" s="84">
        <v>90</v>
      </c>
      <c r="T31" s="84">
        <v>90</v>
      </c>
      <c r="U31" s="84">
        <v>90</v>
      </c>
      <c r="V31" s="84">
        <v>90</v>
      </c>
      <c r="W31" s="84">
        <v>90</v>
      </c>
      <c r="X31" s="84">
        <v>90</v>
      </c>
      <c r="Y31" s="58">
        <f>Y24-'OEM Rod Bolts'!$AG7</f>
        <v>-2.4999999999886224E-5</v>
      </c>
      <c r="Z31" s="58">
        <f>Z24-'OEM Rod Bolts'!$AG7</f>
        <v>-7.4999999999769695E-5</v>
      </c>
      <c r="AA31" s="58">
        <f>AA24-'OEM Rod Bolts'!$AG7</f>
        <v>5.5511151231257827E-17</v>
      </c>
      <c r="AB31" s="58">
        <f>AB24-'OEM Rod Bolts'!$AG7</f>
        <v>-7.4999999999769695E-5</v>
      </c>
      <c r="AC31" s="58">
        <f>AC24-'OEM Rod Bolts'!$AG7</f>
        <v>4.9999999999938982E-5</v>
      </c>
      <c r="AD31" s="58">
        <f>AD24-'OEM Rod Bolts'!$AG7</f>
        <v>-1.5000000000003899E-4</v>
      </c>
      <c r="AE31" s="58">
        <f>AE24-'OEM Rod Bolts'!$AG7</f>
        <v>-1.5000000000003899E-4</v>
      </c>
      <c r="AF31" s="58">
        <f>AF24-'OEM Rod Bolts'!$AG7</f>
        <v>5.5511151231257827E-17</v>
      </c>
      <c r="AG31" s="9" t="s">
        <v>367</v>
      </c>
    </row>
    <row r="32" spans="1:33" s="9" customFormat="1">
      <c r="P32" s="9" t="s">
        <v>367</v>
      </c>
      <c r="Q32" s="84">
        <v>135</v>
      </c>
      <c r="R32" s="84">
        <v>135</v>
      </c>
      <c r="S32" s="84">
        <v>135</v>
      </c>
      <c r="T32" s="84">
        <v>135</v>
      </c>
      <c r="U32" s="84">
        <v>135</v>
      </c>
      <c r="V32" s="84">
        <v>135</v>
      </c>
      <c r="W32" s="84">
        <v>135</v>
      </c>
      <c r="X32" s="84">
        <v>135</v>
      </c>
      <c r="Y32" s="58">
        <f>Y25-'OEM Rod Bolts'!$AG8</f>
        <v>-2.1875000000060041E-5</v>
      </c>
      <c r="Z32" s="58">
        <f>Z25-'OEM Rod Bolts'!$AG8</f>
        <v>-4.6875000000001776E-5</v>
      </c>
      <c r="AA32" s="58">
        <f>AA25-'OEM Rod Bolts'!$AG8</f>
        <v>-4.6875000000001776E-5</v>
      </c>
      <c r="AB32" s="58">
        <f>AB25-'OEM Rod Bolts'!$AG8</f>
        <v>-7.1874999999943512E-5</v>
      </c>
      <c r="AC32" s="58">
        <f>AC25-'OEM Rod Bolts'!$AG8</f>
        <v>3.1249999998816946E-6</v>
      </c>
      <c r="AD32" s="58">
        <f>AD25-'OEM Rod Bolts'!$AG8</f>
        <v>-1.4687500000021281E-4</v>
      </c>
      <c r="AE32" s="58">
        <f>AE25-'OEM Rod Bolts'!$AG8</f>
        <v>-7.1875000000387601E-5</v>
      </c>
      <c r="AF32" s="58">
        <f>AF25-'OEM Rod Bolts'!$AG8</f>
        <v>-7.1874999999943512E-5</v>
      </c>
      <c r="AG32" s="9" t="s">
        <v>367</v>
      </c>
    </row>
    <row r="33" spans="1:33" s="9" customFormat="1">
      <c r="P33" s="9" t="s">
        <v>367</v>
      </c>
      <c r="Q33" s="84">
        <v>160.25</v>
      </c>
      <c r="R33" s="84">
        <v>160.25</v>
      </c>
      <c r="S33" s="84">
        <v>160.25</v>
      </c>
      <c r="T33" s="84">
        <v>160.25</v>
      </c>
      <c r="U33" s="84">
        <v>160.25</v>
      </c>
      <c r="V33" s="84">
        <v>160.25</v>
      </c>
      <c r="W33" s="84">
        <v>160.25</v>
      </c>
      <c r="X33" s="84">
        <v>160.25</v>
      </c>
      <c r="Y33" s="58">
        <f>Y26-'OEM Rod Bolts'!$AG9</f>
        <v>4.0625000000127365E-5</v>
      </c>
      <c r="Z33" s="58">
        <f>Z26-'OEM Rod Bolts'!$AG9</f>
        <v>-5.9375000000083666E-5</v>
      </c>
      <c r="AA33" s="58">
        <f>AA26-'OEM Rod Bolts'!$AG9</f>
        <v>-8.4375000000025402E-5</v>
      </c>
      <c r="AB33" s="58">
        <f>AB26-'OEM Rod Bolts'!$AG9</f>
        <v>1.5625000000185629E-5</v>
      </c>
      <c r="AC33" s="58">
        <f>AC26-'OEM Rod Bolts'!$AG9</f>
        <v>4.0625000000127365E-5</v>
      </c>
      <c r="AD33" s="58">
        <f>AD26-'OEM Rod Bolts'!$AG9</f>
        <v>-5.9375000000083666E-5</v>
      </c>
      <c r="AE33" s="58">
        <f>AE26-'OEM Rod Bolts'!$AG9</f>
        <v>-3.4374999999697842E-5</v>
      </c>
      <c r="AF33" s="58">
        <f>AF26-'OEM Rod Bolts'!$AG9</f>
        <v>4.0625000000127365E-5</v>
      </c>
      <c r="AG33" s="9" t="s">
        <v>367</v>
      </c>
    </row>
    <row r="34" spans="1:33" s="9" customFormat="1">
      <c r="A34" s="58"/>
      <c r="C34" s="83"/>
      <c r="D34" s="83"/>
      <c r="E34" s="83"/>
      <c r="F34" s="83"/>
      <c r="G34" s="83"/>
      <c r="H34" s="83"/>
      <c r="I34" s="83"/>
      <c r="J34" s="83"/>
      <c r="K34" s="58"/>
      <c r="L34" s="58"/>
      <c r="M34" s="58"/>
      <c r="N34" s="58"/>
      <c r="O34" s="58"/>
      <c r="P34" s="9" t="s">
        <v>367</v>
      </c>
      <c r="Q34" s="84">
        <v>175</v>
      </c>
      <c r="R34" s="84">
        <v>175</v>
      </c>
      <c r="S34" s="84">
        <v>175</v>
      </c>
      <c r="T34" s="84">
        <v>175</v>
      </c>
      <c r="U34" s="84">
        <v>175</v>
      </c>
      <c r="V34" s="84">
        <v>175</v>
      </c>
      <c r="W34" s="84">
        <v>175</v>
      </c>
      <c r="X34" s="84">
        <v>175</v>
      </c>
      <c r="Y34" s="58">
        <f>Y27-'OEM Rod Bolts'!$AG10</f>
        <v>0</v>
      </c>
      <c r="Z34" s="58">
        <f>Z27-'OEM Rod Bolts'!$AG10</f>
        <v>0</v>
      </c>
      <c r="AA34" s="58">
        <f>AA27-'OEM Rod Bolts'!$AG10</f>
        <v>0</v>
      </c>
      <c r="AB34" s="58">
        <f>AB27-'OEM Rod Bolts'!$AG10</f>
        <v>0</v>
      </c>
      <c r="AC34" s="58">
        <f>AC27-'OEM Rod Bolts'!$AG10</f>
        <v>0</v>
      </c>
      <c r="AD34" s="58">
        <f>AD27-'OEM Rod Bolts'!$AG10</f>
        <v>0</v>
      </c>
      <c r="AE34" s="58">
        <f>AE27-'OEM Rod Bolts'!$AG10</f>
        <v>0</v>
      </c>
      <c r="AF34" s="58">
        <f>AF27-'OEM Rod Bolts'!$AG10</f>
        <v>0</v>
      </c>
      <c r="AG34" s="9" t="s">
        <v>367</v>
      </c>
    </row>
    <row r="35" spans="1:33" s="9" customFormat="1">
      <c r="C35" s="83"/>
      <c r="D35" s="83"/>
      <c r="E35" s="83"/>
      <c r="F35" s="83"/>
      <c r="G35" s="83"/>
      <c r="H35" s="83"/>
      <c r="I35" s="83"/>
      <c r="J35" s="83"/>
      <c r="K35" s="58"/>
      <c r="L35" s="58"/>
      <c r="M35" s="58"/>
      <c r="N35" s="58"/>
      <c r="O35" s="58"/>
      <c r="Q35" s="84"/>
      <c r="R35" s="84"/>
      <c r="S35" s="84"/>
      <c r="T35" s="84"/>
      <c r="U35" s="84"/>
      <c r="V35" s="84"/>
      <c r="W35" s="84"/>
      <c r="X35" s="84"/>
      <c r="Y35" s="58"/>
      <c r="Z35" s="58"/>
      <c r="AA35" s="58"/>
      <c r="AB35" s="58"/>
      <c r="AC35" s="58"/>
      <c r="AD35" s="58"/>
      <c r="AE35" s="58"/>
      <c r="AF35" s="58"/>
    </row>
    <row r="102" spans="1:33" s="9" customFormat="1">
      <c r="A102" s="9" t="s">
        <v>423</v>
      </c>
      <c r="C102" s="83"/>
      <c r="D102" s="83"/>
      <c r="E102" s="83"/>
      <c r="F102" s="83"/>
      <c r="G102" s="83"/>
      <c r="H102" s="83"/>
      <c r="I102" s="83"/>
      <c r="J102" s="83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33" s="9" customFormat="1">
      <c r="A103" s="58"/>
      <c r="B103" s="9" t="s">
        <v>241</v>
      </c>
      <c r="C103" s="58">
        <v>76</v>
      </c>
      <c r="D103" s="58">
        <v>75.5</v>
      </c>
      <c r="E103" s="58">
        <v>75.400000000000006</v>
      </c>
      <c r="F103" s="58">
        <v>74.2</v>
      </c>
      <c r="G103" s="58">
        <v>76</v>
      </c>
      <c r="H103" s="58">
        <v>73.8</v>
      </c>
      <c r="I103" s="58">
        <v>75.099999999999994</v>
      </c>
      <c r="J103" s="58">
        <v>74.7</v>
      </c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Y103" s="101" t="s">
        <v>270</v>
      </c>
      <c r="Z103" s="101"/>
      <c r="AA103" s="101"/>
      <c r="AB103" s="101"/>
      <c r="AC103" s="101"/>
      <c r="AD103" s="101"/>
      <c r="AE103" s="101"/>
      <c r="AF103" s="101"/>
    </row>
    <row r="104" spans="1:33" s="9" customFormat="1">
      <c r="A104" s="58"/>
      <c r="B104" s="9" t="s">
        <v>364</v>
      </c>
      <c r="C104" s="83" t="s">
        <v>175</v>
      </c>
      <c r="D104" s="83" t="s">
        <v>176</v>
      </c>
      <c r="E104" s="83" t="s">
        <v>177</v>
      </c>
      <c r="F104" s="83" t="s">
        <v>178</v>
      </c>
      <c r="G104" s="83" t="s">
        <v>179</v>
      </c>
      <c r="H104" s="83" t="s">
        <v>180</v>
      </c>
      <c r="I104" s="83" t="s">
        <v>181</v>
      </c>
      <c r="J104" s="83" t="s">
        <v>182</v>
      </c>
      <c r="K104" s="53" t="s">
        <v>195</v>
      </c>
      <c r="L104" s="53" t="s">
        <v>183</v>
      </c>
      <c r="M104" s="53" t="s">
        <v>184</v>
      </c>
      <c r="N104" s="53" t="s">
        <v>185</v>
      </c>
      <c r="O104" s="53" t="s">
        <v>186</v>
      </c>
      <c r="P104" s="53"/>
      <c r="Q104" s="53"/>
      <c r="R104" s="53"/>
      <c r="S104" s="53"/>
      <c r="T104" s="53"/>
      <c r="U104" s="53"/>
      <c r="Y104" s="88" t="s">
        <v>175</v>
      </c>
      <c r="Z104" s="88" t="s">
        <v>176</v>
      </c>
      <c r="AA104" s="88" t="s">
        <v>177</v>
      </c>
      <c r="AB104" s="88" t="s">
        <v>178</v>
      </c>
      <c r="AC104" s="88" t="s">
        <v>179</v>
      </c>
      <c r="AD104" s="88" t="s">
        <v>180</v>
      </c>
      <c r="AE104" s="88" t="s">
        <v>181</v>
      </c>
      <c r="AF104" s="88" t="s">
        <v>182</v>
      </c>
    </row>
    <row r="105" spans="1:33" s="9" customFormat="1">
      <c r="A105" s="84"/>
      <c r="B105" s="84">
        <v>5</v>
      </c>
      <c r="C105" s="58">
        <v>2.2048000000000001</v>
      </c>
      <c r="D105" s="58">
        <v>2.2048000000000001</v>
      </c>
      <c r="E105" s="58">
        <v>2.2048000000000001</v>
      </c>
      <c r="F105" s="58">
        <v>2.2047500000000002</v>
      </c>
      <c r="G105" s="58">
        <v>2.2048000000000001</v>
      </c>
      <c r="H105" s="58">
        <v>2.2047500000000002</v>
      </c>
      <c r="I105" s="58">
        <v>2.2047500000000002</v>
      </c>
      <c r="J105" s="58">
        <v>2.20485</v>
      </c>
      <c r="K105" s="58">
        <f t="shared" ref="K105:K111" si="24">MIN(C105:J105)</f>
        <v>2.2047500000000002</v>
      </c>
      <c r="L105" s="58">
        <f t="shared" ref="L105:L111" si="25">MAX(C105:J105)</f>
        <v>2.20485</v>
      </c>
      <c r="M105" s="58">
        <f t="shared" ref="M105:M111" si="26">MODE(C105:J105)</f>
        <v>2.2048000000000001</v>
      </c>
      <c r="N105" s="58">
        <f t="shared" ref="N105:N111" si="27">K105-M105</f>
        <v>-4.9999999999883471E-5</v>
      </c>
      <c r="O105" s="58">
        <f t="shared" ref="O105:O111" si="28">L105-M105</f>
        <v>4.9999999999883471E-5</v>
      </c>
      <c r="P105" s="58"/>
      <c r="Q105" s="84">
        <v>5</v>
      </c>
      <c r="R105" s="84">
        <v>5</v>
      </c>
      <c r="S105" s="84">
        <v>5</v>
      </c>
      <c r="T105" s="84">
        <v>5</v>
      </c>
      <c r="U105" s="84">
        <v>5</v>
      </c>
      <c r="V105" s="84">
        <v>5</v>
      </c>
      <c r="W105" s="84">
        <v>5</v>
      </c>
      <c r="X105" s="84">
        <v>5</v>
      </c>
      <c r="Y105" s="58">
        <f>AVERAGE(C105,C111)-AVERAGE(C$105,C$111)</f>
        <v>0</v>
      </c>
      <c r="Z105" s="58">
        <f t="shared" ref="Z105:AF105" si="29">AVERAGE(D105,D111)-AVERAGE(D$105,D$111)</f>
        <v>0</v>
      </c>
      <c r="AA105" s="58">
        <f t="shared" si="29"/>
        <v>0</v>
      </c>
      <c r="AB105" s="58">
        <f t="shared" si="29"/>
        <v>0</v>
      </c>
      <c r="AC105" s="58">
        <f t="shared" si="29"/>
        <v>0</v>
      </c>
      <c r="AD105" s="58">
        <f t="shared" si="29"/>
        <v>0</v>
      </c>
      <c r="AE105" s="58">
        <f t="shared" si="29"/>
        <v>0</v>
      </c>
      <c r="AF105" s="58">
        <f t="shared" si="29"/>
        <v>0</v>
      </c>
    </row>
    <row r="106" spans="1:33" s="9" customFormat="1">
      <c r="A106" s="84"/>
      <c r="B106" s="84">
        <v>19.75</v>
      </c>
      <c r="C106" s="58">
        <v>2.2050999999999998</v>
      </c>
      <c r="D106" s="58">
        <v>2.2050000000000001</v>
      </c>
      <c r="E106" s="58">
        <v>2.2050999999999998</v>
      </c>
      <c r="F106" s="58">
        <v>2.2050999999999998</v>
      </c>
      <c r="G106" s="58">
        <v>2.2052</v>
      </c>
      <c r="H106" s="58">
        <v>2.2051500000000002</v>
      </c>
      <c r="I106" s="58">
        <v>2.2051500000000002</v>
      </c>
      <c r="J106" s="58">
        <v>2.2050000000000001</v>
      </c>
      <c r="K106" s="58">
        <f t="shared" si="24"/>
        <v>2.2050000000000001</v>
      </c>
      <c r="L106" s="58">
        <f t="shared" si="25"/>
        <v>2.2052</v>
      </c>
      <c r="M106" s="58">
        <f t="shared" si="26"/>
        <v>2.2050999999999998</v>
      </c>
      <c r="N106" s="58">
        <f t="shared" si="27"/>
        <v>-9.9999999999766942E-5</v>
      </c>
      <c r="O106" s="58">
        <f t="shared" si="28"/>
        <v>1.0000000000021103E-4</v>
      </c>
      <c r="P106" s="58"/>
      <c r="Q106" s="84">
        <v>19.75</v>
      </c>
      <c r="R106" s="84">
        <v>19.75</v>
      </c>
      <c r="S106" s="84">
        <v>19.75</v>
      </c>
      <c r="T106" s="84">
        <v>19.75</v>
      </c>
      <c r="U106" s="84">
        <v>19.75</v>
      </c>
      <c r="V106" s="84">
        <v>19.75</v>
      </c>
      <c r="W106" s="84">
        <v>19.75</v>
      </c>
      <c r="X106" s="84">
        <v>19.75</v>
      </c>
      <c r="Y106" s="58">
        <f>AVERAGE(C106,C110)-AVERAGE(C$105,C$111)</f>
        <v>3.4999999999962839E-4</v>
      </c>
      <c r="Z106" s="58">
        <f t="shared" ref="Z106:AF106" si="30">AVERAGE(D106,D110)-AVERAGE(D$105,D$111)</f>
        <v>1.9999999999997797E-4</v>
      </c>
      <c r="AA106" s="58">
        <f t="shared" si="30"/>
        <v>2.7499999999980318E-4</v>
      </c>
      <c r="AB106" s="58">
        <f t="shared" si="30"/>
        <v>3.2500000000013074E-4</v>
      </c>
      <c r="AC106" s="58">
        <f t="shared" si="30"/>
        <v>2.7499999999980318E-4</v>
      </c>
      <c r="AD106" s="58">
        <f t="shared" si="30"/>
        <v>3.4999999999962839E-4</v>
      </c>
      <c r="AE106" s="58">
        <f t="shared" si="30"/>
        <v>3.9999999999995595E-4</v>
      </c>
      <c r="AF106" s="58">
        <f t="shared" si="30"/>
        <v>2.2499999999991971E-4</v>
      </c>
    </row>
    <row r="107" spans="1:33" s="9" customFormat="1">
      <c r="A107" s="84"/>
      <c r="B107" s="84">
        <v>45</v>
      </c>
      <c r="C107" s="58">
        <v>2.2056</v>
      </c>
      <c r="D107" s="58">
        <v>2.2051500000000002</v>
      </c>
      <c r="E107" s="58">
        <v>2.2054</v>
      </c>
      <c r="F107" s="58">
        <v>2.2056</v>
      </c>
      <c r="G107" s="58">
        <v>2.2054</v>
      </c>
      <c r="H107" s="58">
        <v>2.2054499999999999</v>
      </c>
      <c r="I107" s="58">
        <v>2.2054499999999999</v>
      </c>
      <c r="J107" s="58">
        <v>2.2052999999999998</v>
      </c>
      <c r="K107" s="58">
        <f t="shared" si="24"/>
        <v>2.2051500000000002</v>
      </c>
      <c r="L107" s="58">
        <f t="shared" si="25"/>
        <v>2.2056</v>
      </c>
      <c r="M107" s="58">
        <f t="shared" si="26"/>
        <v>2.2056</v>
      </c>
      <c r="N107" s="58">
        <f t="shared" si="27"/>
        <v>-4.4999999999983942E-4</v>
      </c>
      <c r="O107" s="58">
        <f t="shared" si="28"/>
        <v>0</v>
      </c>
      <c r="P107" s="58"/>
      <c r="Q107" s="84">
        <v>45</v>
      </c>
      <c r="R107" s="84">
        <v>45</v>
      </c>
      <c r="S107" s="84">
        <v>45</v>
      </c>
      <c r="T107" s="84">
        <v>45</v>
      </c>
      <c r="U107" s="84">
        <v>45</v>
      </c>
      <c r="V107" s="84">
        <v>45</v>
      </c>
      <c r="W107" s="84">
        <v>45</v>
      </c>
      <c r="X107" s="84">
        <v>45</v>
      </c>
      <c r="Y107" s="58">
        <f>AVERAGE(C107,C109)-AVERAGE(C$105,C$111)</f>
        <v>9.0000000000012292E-4</v>
      </c>
      <c r="Z107" s="58">
        <f t="shared" ref="Z107:AF107" si="31">AVERAGE(D107,D109)-AVERAGE(D$105,D$111)</f>
        <v>3.7500000000001421E-4</v>
      </c>
      <c r="AA107" s="58">
        <f t="shared" si="31"/>
        <v>6.2499999999987566E-4</v>
      </c>
      <c r="AB107" s="58">
        <f t="shared" si="31"/>
        <v>8.7500000000018119E-4</v>
      </c>
      <c r="AC107" s="58">
        <f t="shared" si="31"/>
        <v>5.9999999999993392E-4</v>
      </c>
      <c r="AD107" s="58">
        <f t="shared" si="31"/>
        <v>6.7499999999975913E-4</v>
      </c>
      <c r="AE107" s="58">
        <f t="shared" si="31"/>
        <v>7.249999999996426E-4</v>
      </c>
      <c r="AF107" s="58">
        <f t="shared" si="31"/>
        <v>5.0000000000016698E-4</v>
      </c>
    </row>
    <row r="108" spans="1:33" s="9" customFormat="1">
      <c r="A108" s="84"/>
      <c r="B108" s="84">
        <v>90</v>
      </c>
      <c r="C108" s="58">
        <v>2.206</v>
      </c>
      <c r="D108" s="58">
        <v>2.2054</v>
      </c>
      <c r="E108" s="58">
        <v>2.2056499999999999</v>
      </c>
      <c r="F108" s="58">
        <v>2.2058</v>
      </c>
      <c r="G108" s="58">
        <v>2.2057500000000001</v>
      </c>
      <c r="H108" s="58">
        <v>2.2057500000000001</v>
      </c>
      <c r="I108" s="58">
        <v>2.2058</v>
      </c>
      <c r="J108" s="58">
        <v>2.2056</v>
      </c>
      <c r="K108" s="58">
        <f t="shared" si="24"/>
        <v>2.2054</v>
      </c>
      <c r="L108" s="58">
        <f t="shared" si="25"/>
        <v>2.206</v>
      </c>
      <c r="M108" s="58">
        <f t="shared" si="26"/>
        <v>2.2058</v>
      </c>
      <c r="N108" s="58">
        <f t="shared" si="27"/>
        <v>-3.9999999999995595E-4</v>
      </c>
      <c r="O108" s="58">
        <f t="shared" si="28"/>
        <v>1.9999999999997797E-4</v>
      </c>
      <c r="P108" s="58"/>
      <c r="Q108" s="84">
        <v>90</v>
      </c>
      <c r="R108" s="84">
        <v>90</v>
      </c>
      <c r="S108" s="84">
        <v>90</v>
      </c>
      <c r="T108" s="84">
        <v>90</v>
      </c>
      <c r="U108" s="84">
        <v>90</v>
      </c>
      <c r="V108" s="84">
        <v>90</v>
      </c>
      <c r="W108" s="84">
        <v>90</v>
      </c>
      <c r="X108" s="84">
        <v>90</v>
      </c>
      <c r="Y108" s="58">
        <f>C108-AVERAGE(C$105,C$111)</f>
        <v>1.1999999999998678E-3</v>
      </c>
      <c r="Z108" s="58">
        <f t="shared" ref="Z108:AF108" si="32">D108-AVERAGE(D$105,D$111)</f>
        <v>5.9999999999993392E-4</v>
      </c>
      <c r="AA108" s="58">
        <f t="shared" si="32"/>
        <v>8.749999999997371E-4</v>
      </c>
      <c r="AB108" s="58">
        <f t="shared" si="32"/>
        <v>1.0750000000001592E-3</v>
      </c>
      <c r="AC108" s="58">
        <f t="shared" si="32"/>
        <v>9.5000000000000639E-4</v>
      </c>
      <c r="AD108" s="58">
        <f t="shared" si="32"/>
        <v>9.7499999999994813E-4</v>
      </c>
      <c r="AE108" s="58">
        <f t="shared" si="32"/>
        <v>1.0249999999998316E-3</v>
      </c>
      <c r="AF108" s="58">
        <f t="shared" si="32"/>
        <v>7.2500000000008669E-4</v>
      </c>
    </row>
    <row r="109" spans="1:33" s="9" customFormat="1">
      <c r="A109" s="84"/>
      <c r="B109" s="84">
        <v>135</v>
      </c>
      <c r="C109" s="58">
        <v>2.2058</v>
      </c>
      <c r="D109" s="58">
        <v>2.2052</v>
      </c>
      <c r="E109" s="58">
        <v>2.2054</v>
      </c>
      <c r="F109" s="58">
        <v>2.2056</v>
      </c>
      <c r="G109" s="58">
        <v>2.2054</v>
      </c>
      <c r="H109" s="58">
        <v>2.2054499999999999</v>
      </c>
      <c r="I109" s="58">
        <v>2.2055500000000001</v>
      </c>
      <c r="J109" s="58">
        <v>2.2054499999999999</v>
      </c>
      <c r="K109" s="58">
        <f t="shared" si="24"/>
        <v>2.2052</v>
      </c>
      <c r="L109" s="58">
        <f t="shared" si="25"/>
        <v>2.2058</v>
      </c>
      <c r="M109" s="58">
        <f t="shared" si="26"/>
        <v>2.2054</v>
      </c>
      <c r="N109" s="58">
        <f t="shared" si="27"/>
        <v>-1.9999999999997797E-4</v>
      </c>
      <c r="O109" s="58">
        <f t="shared" si="28"/>
        <v>3.9999999999995595E-4</v>
      </c>
      <c r="P109" s="58"/>
      <c r="Q109" s="84">
        <v>135</v>
      </c>
      <c r="R109" s="84">
        <v>135</v>
      </c>
      <c r="S109" s="84">
        <v>135</v>
      </c>
      <c r="T109" s="84">
        <v>135</v>
      </c>
      <c r="U109" s="84">
        <v>135</v>
      </c>
      <c r="V109" s="84">
        <v>135</v>
      </c>
      <c r="W109" s="84">
        <v>135</v>
      </c>
      <c r="X109" s="84">
        <v>135</v>
      </c>
      <c r="Y109" s="58">
        <f>AVERAGE(C107,C109)-AVERAGE(C$105,C$111)</f>
        <v>9.0000000000012292E-4</v>
      </c>
      <c r="Z109" s="58">
        <f t="shared" ref="Z109:AF109" si="33">AVERAGE(D107,D109)-AVERAGE(D$105,D$111)</f>
        <v>3.7500000000001421E-4</v>
      </c>
      <c r="AA109" s="58">
        <f t="shared" si="33"/>
        <v>6.2499999999987566E-4</v>
      </c>
      <c r="AB109" s="58">
        <f t="shared" si="33"/>
        <v>8.7500000000018119E-4</v>
      </c>
      <c r="AC109" s="58">
        <f t="shared" si="33"/>
        <v>5.9999999999993392E-4</v>
      </c>
      <c r="AD109" s="58">
        <f t="shared" si="33"/>
        <v>6.7499999999975913E-4</v>
      </c>
      <c r="AE109" s="58">
        <f t="shared" si="33"/>
        <v>7.249999999996426E-4</v>
      </c>
      <c r="AF109" s="58">
        <f t="shared" si="33"/>
        <v>5.0000000000016698E-4</v>
      </c>
    </row>
    <row r="110" spans="1:33" s="9" customFormat="1">
      <c r="A110" s="84"/>
      <c r="B110" s="84">
        <v>160.25</v>
      </c>
      <c r="C110" s="58">
        <v>2.2052</v>
      </c>
      <c r="D110" s="58">
        <v>2.2050000000000001</v>
      </c>
      <c r="E110" s="58">
        <v>2.2050000000000001</v>
      </c>
      <c r="F110" s="58">
        <v>2.2050000000000001</v>
      </c>
      <c r="G110" s="58">
        <v>2.2049500000000002</v>
      </c>
      <c r="H110" s="58">
        <v>2.2050999999999998</v>
      </c>
      <c r="I110" s="58">
        <v>2.2052</v>
      </c>
      <c r="J110" s="58">
        <v>2.2052</v>
      </c>
      <c r="K110" s="58">
        <f t="shared" si="24"/>
        <v>2.2049500000000002</v>
      </c>
      <c r="L110" s="58">
        <f t="shared" si="25"/>
        <v>2.2052</v>
      </c>
      <c r="M110" s="58">
        <f t="shared" si="26"/>
        <v>2.2052</v>
      </c>
      <c r="N110" s="58">
        <f t="shared" si="27"/>
        <v>-2.4999999999986144E-4</v>
      </c>
      <c r="O110" s="58">
        <f t="shared" si="28"/>
        <v>0</v>
      </c>
      <c r="P110" s="58"/>
      <c r="Q110" s="84">
        <v>160.25</v>
      </c>
      <c r="R110" s="84">
        <v>160.25</v>
      </c>
      <c r="S110" s="84">
        <v>160.25</v>
      </c>
      <c r="T110" s="84">
        <v>160.25</v>
      </c>
      <c r="U110" s="84">
        <v>160.25</v>
      </c>
      <c r="V110" s="84">
        <v>160.25</v>
      </c>
      <c r="W110" s="84">
        <v>160.25</v>
      </c>
      <c r="X110" s="84">
        <v>160.25</v>
      </c>
      <c r="Y110" s="58">
        <f>AVERAGE(C106,C110)-AVERAGE(C$105,C$111)</f>
        <v>3.4999999999962839E-4</v>
      </c>
      <c r="Z110" s="58">
        <f t="shared" ref="Z110:AF110" si="34">AVERAGE(D106,D110)-AVERAGE(D$105,D$111)</f>
        <v>1.9999999999997797E-4</v>
      </c>
      <c r="AA110" s="58">
        <f t="shared" si="34"/>
        <v>2.7499999999980318E-4</v>
      </c>
      <c r="AB110" s="58">
        <f t="shared" si="34"/>
        <v>3.2500000000013074E-4</v>
      </c>
      <c r="AC110" s="58">
        <f t="shared" si="34"/>
        <v>2.7499999999980318E-4</v>
      </c>
      <c r="AD110" s="58">
        <f t="shared" si="34"/>
        <v>3.4999999999962839E-4</v>
      </c>
      <c r="AE110" s="58">
        <f t="shared" si="34"/>
        <v>3.9999999999995595E-4</v>
      </c>
      <c r="AF110" s="58">
        <f t="shared" si="34"/>
        <v>2.2499999999991971E-4</v>
      </c>
    </row>
    <row r="111" spans="1:33" s="9" customFormat="1">
      <c r="A111" s="84"/>
      <c r="B111" s="84">
        <v>175</v>
      </c>
      <c r="C111" s="58">
        <v>2.2048000000000001</v>
      </c>
      <c r="D111" s="58">
        <v>2.2048000000000001</v>
      </c>
      <c r="E111" s="58">
        <v>2.2047500000000002</v>
      </c>
      <c r="F111" s="58">
        <v>2.2046999999999999</v>
      </c>
      <c r="G111" s="58">
        <v>2.2048000000000001</v>
      </c>
      <c r="H111" s="58">
        <v>2.2048000000000001</v>
      </c>
      <c r="I111" s="58">
        <v>2.2048000000000001</v>
      </c>
      <c r="J111" s="58">
        <v>2.2048999999999999</v>
      </c>
      <c r="K111" s="58">
        <f t="shared" si="24"/>
        <v>2.2046999999999999</v>
      </c>
      <c r="L111" s="58">
        <f t="shared" si="25"/>
        <v>2.2048999999999999</v>
      </c>
      <c r="M111" s="58">
        <f t="shared" si="26"/>
        <v>2.2048000000000001</v>
      </c>
      <c r="N111" s="58">
        <f t="shared" si="27"/>
        <v>-1.0000000000021103E-4</v>
      </c>
      <c r="O111" s="58">
        <f t="shared" si="28"/>
        <v>9.9999999999766942E-5</v>
      </c>
      <c r="P111" s="58"/>
      <c r="Q111" s="84">
        <v>175</v>
      </c>
      <c r="R111" s="84">
        <v>175</v>
      </c>
      <c r="S111" s="84">
        <v>175</v>
      </c>
      <c r="T111" s="84">
        <v>175</v>
      </c>
      <c r="U111" s="84">
        <v>175</v>
      </c>
      <c r="V111" s="84">
        <v>175</v>
      </c>
      <c r="W111" s="84">
        <v>175</v>
      </c>
      <c r="X111" s="84">
        <v>175</v>
      </c>
      <c r="Y111" s="58">
        <f>AVERAGE(C105,C111)-AVERAGE(C$105,C$111)</f>
        <v>0</v>
      </c>
      <c r="Z111" s="58">
        <f t="shared" ref="Z111:AF111" si="35">AVERAGE(D105,D111)-AVERAGE(D$105,D$111)</f>
        <v>0</v>
      </c>
      <c r="AA111" s="58">
        <f t="shared" si="35"/>
        <v>0</v>
      </c>
      <c r="AB111" s="58">
        <f t="shared" si="35"/>
        <v>0</v>
      </c>
      <c r="AC111" s="58">
        <f t="shared" si="35"/>
        <v>0</v>
      </c>
      <c r="AD111" s="58">
        <f t="shared" si="35"/>
        <v>0</v>
      </c>
      <c r="AE111" s="58">
        <f t="shared" si="35"/>
        <v>0</v>
      </c>
      <c r="AF111" s="58">
        <f t="shared" si="35"/>
        <v>0</v>
      </c>
    </row>
    <row r="112" spans="1:33" s="9" customFormat="1">
      <c r="P112" s="9" t="s">
        <v>367</v>
      </c>
      <c r="Q112" s="84">
        <v>5</v>
      </c>
      <c r="R112" s="84">
        <v>5</v>
      </c>
      <c r="S112" s="84">
        <v>5</v>
      </c>
      <c r="T112" s="84">
        <v>5</v>
      </c>
      <c r="U112" s="84">
        <v>5</v>
      </c>
      <c r="V112" s="84">
        <v>5</v>
      </c>
      <c r="W112" s="84">
        <v>5</v>
      </c>
      <c r="X112" s="84">
        <v>5</v>
      </c>
      <c r="Y112" s="58">
        <f>Y105-'OEM Rod Bolts'!$AG15</f>
        <v>0</v>
      </c>
      <c r="Z112" s="58">
        <f>Z105-'OEM Rod Bolts'!$AG15</f>
        <v>0</v>
      </c>
      <c r="AA112" s="58">
        <f>AA105-'OEM Rod Bolts'!$AG15</f>
        <v>0</v>
      </c>
      <c r="AB112" s="58">
        <f>AB105-'OEM Rod Bolts'!$AG15</f>
        <v>0</v>
      </c>
      <c r="AC112" s="58">
        <f>AC105-'OEM Rod Bolts'!$AG15</f>
        <v>0</v>
      </c>
      <c r="AD112" s="58">
        <f>AD105-'OEM Rod Bolts'!$AG15</f>
        <v>0</v>
      </c>
      <c r="AE112" s="58">
        <f>AE105-'OEM Rod Bolts'!$AG15</f>
        <v>0</v>
      </c>
      <c r="AF112" s="58">
        <f>AF105-'OEM Rod Bolts'!$AG15</f>
        <v>0</v>
      </c>
      <c r="AG112" s="9" t="s">
        <v>367</v>
      </c>
    </row>
    <row r="113" spans="3:33" s="9" customFormat="1">
      <c r="P113" s="9" t="s">
        <v>367</v>
      </c>
      <c r="Q113" s="84">
        <v>19.75</v>
      </c>
      <c r="R113" s="84">
        <v>19.75</v>
      </c>
      <c r="S113" s="84">
        <v>19.75</v>
      </c>
      <c r="T113" s="84">
        <v>19.75</v>
      </c>
      <c r="U113" s="84">
        <v>19.75</v>
      </c>
      <c r="V113" s="84">
        <v>19.75</v>
      </c>
      <c r="W113" s="84">
        <v>19.75</v>
      </c>
      <c r="X113" s="84">
        <v>19.75</v>
      </c>
      <c r="Y113" s="58">
        <f>Y106-'OEM Rod Bolts'!$AG16</f>
        <v>3.5624999999972484E-4</v>
      </c>
      <c r="Z113" s="58">
        <f>Z106-'OEM Rod Bolts'!$AG16</f>
        <v>2.0625000000007443E-4</v>
      </c>
      <c r="AA113" s="58">
        <f>AA106-'OEM Rod Bolts'!$AG16</f>
        <v>2.8124999999989964E-4</v>
      </c>
      <c r="AB113" s="58">
        <f>AB106-'OEM Rod Bolts'!$AG16</f>
        <v>3.312500000002272E-4</v>
      </c>
      <c r="AC113" s="58">
        <f>AC106-'OEM Rod Bolts'!$AG16</f>
        <v>2.8124999999989964E-4</v>
      </c>
      <c r="AD113" s="58">
        <f>AD106-'OEM Rod Bolts'!$AG16</f>
        <v>3.5624999999972484E-4</v>
      </c>
      <c r="AE113" s="58">
        <f>AE106-'OEM Rod Bolts'!$AG16</f>
        <v>4.062500000000524E-4</v>
      </c>
      <c r="AF113" s="58">
        <f>AF106-'OEM Rod Bolts'!$AG16</f>
        <v>2.3125000000001616E-4</v>
      </c>
      <c r="AG113" s="9" t="s">
        <v>367</v>
      </c>
    </row>
    <row r="114" spans="3:33" s="9" customFormat="1">
      <c r="P114" s="9" t="s">
        <v>367</v>
      </c>
      <c r="Q114" s="84">
        <v>45</v>
      </c>
      <c r="R114" s="84">
        <v>45</v>
      </c>
      <c r="S114" s="84">
        <v>45</v>
      </c>
      <c r="T114" s="84">
        <v>45</v>
      </c>
      <c r="U114" s="84">
        <v>45</v>
      </c>
      <c r="V114" s="84">
        <v>45</v>
      </c>
      <c r="W114" s="84">
        <v>45</v>
      </c>
      <c r="X114" s="84">
        <v>45</v>
      </c>
      <c r="Y114" s="58">
        <f>Y107-'OEM Rod Bolts'!$AG17</f>
        <v>9.5312500000016565E-4</v>
      </c>
      <c r="Z114" s="58">
        <f>Z107-'OEM Rod Bolts'!$AG17</f>
        <v>4.2812500000005693E-4</v>
      </c>
      <c r="AA114" s="58">
        <f>AA107-'OEM Rod Bolts'!$AG17</f>
        <v>6.7812499999991838E-4</v>
      </c>
      <c r="AB114" s="58">
        <f>AB107-'OEM Rod Bolts'!$AG17</f>
        <v>9.2812500000022391E-4</v>
      </c>
      <c r="AC114" s="58">
        <f>AC107-'OEM Rod Bolts'!$AG17</f>
        <v>6.5312499999997664E-4</v>
      </c>
      <c r="AD114" s="58">
        <f>AD107-'OEM Rod Bolts'!$AG17</f>
        <v>7.2812499999980185E-4</v>
      </c>
      <c r="AE114" s="58">
        <f>AE107-'OEM Rod Bolts'!$AG17</f>
        <v>7.7812499999968532E-4</v>
      </c>
      <c r="AF114" s="58">
        <f>AF107-'OEM Rod Bolts'!$AG17</f>
        <v>5.531250000002097E-4</v>
      </c>
      <c r="AG114" s="9" t="s">
        <v>367</v>
      </c>
    </row>
    <row r="115" spans="3:33" s="9" customFormat="1">
      <c r="P115" s="9" t="s">
        <v>367</v>
      </c>
      <c r="Q115" s="84">
        <v>90</v>
      </c>
      <c r="R115" s="84">
        <v>90</v>
      </c>
      <c r="S115" s="84">
        <v>90</v>
      </c>
      <c r="T115" s="84">
        <v>90</v>
      </c>
      <c r="U115" s="84">
        <v>90</v>
      </c>
      <c r="V115" s="84">
        <v>90</v>
      </c>
      <c r="W115" s="84">
        <v>90</v>
      </c>
      <c r="X115" s="84">
        <v>90</v>
      </c>
      <c r="Y115" s="58">
        <f>Y108-'OEM Rod Bolts'!$AG18</f>
        <v>1.2374999999998915E-3</v>
      </c>
      <c r="Z115" s="58">
        <f>Z108-'OEM Rod Bolts'!$AG18</f>
        <v>6.3749999999995755E-4</v>
      </c>
      <c r="AA115" s="58">
        <f>AA108-'OEM Rod Bolts'!$AG18</f>
        <v>9.1249999999976072E-4</v>
      </c>
      <c r="AB115" s="58">
        <f>AB108-'OEM Rod Bolts'!$AG18</f>
        <v>1.1125000000001828E-3</v>
      </c>
      <c r="AC115" s="58">
        <f>AC108-'OEM Rod Bolts'!$AG18</f>
        <v>9.8750000000003002E-4</v>
      </c>
      <c r="AD115" s="58">
        <f>AD108-'OEM Rod Bolts'!$AG18</f>
        <v>1.0124999999999718E-3</v>
      </c>
      <c r="AE115" s="58">
        <f>AE108-'OEM Rod Bolts'!$AG18</f>
        <v>1.0624999999998552E-3</v>
      </c>
      <c r="AF115" s="58">
        <f>AF108-'OEM Rod Bolts'!$AG18</f>
        <v>7.6250000000011031E-4</v>
      </c>
      <c r="AG115" s="9" t="s">
        <v>367</v>
      </c>
    </row>
    <row r="116" spans="3:33" s="9" customFormat="1">
      <c r="P116" s="9" t="s">
        <v>367</v>
      </c>
      <c r="Q116" s="84">
        <v>135</v>
      </c>
      <c r="R116" s="84">
        <v>135</v>
      </c>
      <c r="S116" s="84">
        <v>135</v>
      </c>
      <c r="T116" s="84">
        <v>135</v>
      </c>
      <c r="U116" s="84">
        <v>135</v>
      </c>
      <c r="V116" s="84">
        <v>135</v>
      </c>
      <c r="W116" s="84">
        <v>135</v>
      </c>
      <c r="X116" s="84">
        <v>135</v>
      </c>
      <c r="Y116" s="58">
        <f>Y109-'OEM Rod Bolts'!$AG19</f>
        <v>9.5312500000016565E-4</v>
      </c>
      <c r="Z116" s="58">
        <f>Z109-'OEM Rod Bolts'!$AG19</f>
        <v>4.2812500000005693E-4</v>
      </c>
      <c r="AA116" s="58">
        <f>AA109-'OEM Rod Bolts'!$AG19</f>
        <v>6.7812499999991838E-4</v>
      </c>
      <c r="AB116" s="58">
        <f>AB109-'OEM Rod Bolts'!$AG19</f>
        <v>9.2812500000022391E-4</v>
      </c>
      <c r="AC116" s="58">
        <f>AC109-'OEM Rod Bolts'!$AG19</f>
        <v>6.5312499999997664E-4</v>
      </c>
      <c r="AD116" s="58">
        <f>AD109-'OEM Rod Bolts'!$AG19</f>
        <v>7.2812499999980185E-4</v>
      </c>
      <c r="AE116" s="58">
        <f>AE109-'OEM Rod Bolts'!$AG19</f>
        <v>7.7812499999968532E-4</v>
      </c>
      <c r="AF116" s="58">
        <f>AF109-'OEM Rod Bolts'!$AG19</f>
        <v>5.531250000002097E-4</v>
      </c>
      <c r="AG116" s="9" t="s">
        <v>367</v>
      </c>
    </row>
    <row r="117" spans="3:33" s="9" customFormat="1">
      <c r="P117" s="9" t="s">
        <v>367</v>
      </c>
      <c r="Q117" s="84">
        <v>160.25</v>
      </c>
      <c r="R117" s="84">
        <v>160.25</v>
      </c>
      <c r="S117" s="84">
        <v>160.25</v>
      </c>
      <c r="T117" s="84">
        <v>160.25</v>
      </c>
      <c r="U117" s="84">
        <v>160.25</v>
      </c>
      <c r="V117" s="84">
        <v>160.25</v>
      </c>
      <c r="W117" s="84">
        <v>160.25</v>
      </c>
      <c r="X117" s="84">
        <v>160.25</v>
      </c>
      <c r="Y117" s="58">
        <f>Y110-'OEM Rod Bolts'!$AG20</f>
        <v>3.5624999999972484E-4</v>
      </c>
      <c r="Z117" s="58">
        <f>Z110-'OEM Rod Bolts'!$AG20</f>
        <v>2.0625000000007443E-4</v>
      </c>
      <c r="AA117" s="58">
        <f>AA110-'OEM Rod Bolts'!$AG20</f>
        <v>2.8124999999989964E-4</v>
      </c>
      <c r="AB117" s="58">
        <f>AB110-'OEM Rod Bolts'!$AG20</f>
        <v>3.312500000002272E-4</v>
      </c>
      <c r="AC117" s="58">
        <f>AC110-'OEM Rod Bolts'!$AG20</f>
        <v>2.8124999999989964E-4</v>
      </c>
      <c r="AD117" s="58">
        <f>AD110-'OEM Rod Bolts'!$AG20</f>
        <v>3.5624999999972484E-4</v>
      </c>
      <c r="AE117" s="58">
        <f>AE110-'OEM Rod Bolts'!$AG20</f>
        <v>4.062500000000524E-4</v>
      </c>
      <c r="AF117" s="58">
        <f>AF110-'OEM Rod Bolts'!$AG20</f>
        <v>2.3125000000001616E-4</v>
      </c>
      <c r="AG117" s="9" t="s">
        <v>367</v>
      </c>
    </row>
    <row r="118" spans="3:33" s="9" customFormat="1">
      <c r="C118" s="83"/>
      <c r="D118" s="83"/>
      <c r="E118" s="83"/>
      <c r="F118" s="83"/>
      <c r="G118" s="83"/>
      <c r="H118" s="83"/>
      <c r="I118" s="83"/>
      <c r="J118" s="83"/>
      <c r="K118" s="58"/>
      <c r="L118" s="58"/>
      <c r="M118" s="58"/>
      <c r="N118" s="58"/>
      <c r="O118" s="58"/>
      <c r="P118" s="9" t="s">
        <v>367</v>
      </c>
      <c r="Q118" s="84">
        <v>175</v>
      </c>
      <c r="R118" s="84">
        <v>175</v>
      </c>
      <c r="S118" s="84">
        <v>175</v>
      </c>
      <c r="T118" s="84">
        <v>175</v>
      </c>
      <c r="U118" s="84">
        <v>175</v>
      </c>
      <c r="V118" s="84">
        <v>175</v>
      </c>
      <c r="W118" s="84">
        <v>175</v>
      </c>
      <c r="X118" s="84">
        <v>175</v>
      </c>
      <c r="Y118" s="58">
        <f>Y111-'OEM Rod Bolts'!$AG21</f>
        <v>0</v>
      </c>
      <c r="Z118" s="58">
        <f>Z111-'OEM Rod Bolts'!$AG21</f>
        <v>0</v>
      </c>
      <c r="AA118" s="58">
        <f>AA111-'OEM Rod Bolts'!$AG21</f>
        <v>0</v>
      </c>
      <c r="AB118" s="58">
        <f>AB111-'OEM Rod Bolts'!$AG21</f>
        <v>0</v>
      </c>
      <c r="AC118" s="58">
        <f>AC111-'OEM Rod Bolts'!$AG21</f>
        <v>0</v>
      </c>
      <c r="AD118" s="58">
        <f>AD111-'OEM Rod Bolts'!$AG21</f>
        <v>0</v>
      </c>
      <c r="AE118" s="58">
        <f>AE111-'OEM Rod Bolts'!$AG21</f>
        <v>0</v>
      </c>
      <c r="AF118" s="58">
        <f>AF111-'OEM Rod Bolts'!$AG21</f>
        <v>0</v>
      </c>
      <c r="AG118" s="9" t="s">
        <v>367</v>
      </c>
    </row>
  </sheetData>
  <mergeCells count="3">
    <mergeCell ref="Y2:AF2"/>
    <mergeCell ref="Y19:AF19"/>
    <mergeCell ref="Y103:AF10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W54"/>
  <sheetViews>
    <sheetView workbookViewId="0">
      <selection activeCell="M27" sqref="M27"/>
    </sheetView>
  </sheetViews>
  <sheetFormatPr defaultRowHeight="15"/>
  <cols>
    <col min="1" max="33" width="9.140625" style="9"/>
    <col min="34" max="41" width="9.140625" style="58"/>
    <col min="42" max="16384" width="9.140625" style="9"/>
  </cols>
  <sheetData>
    <row r="1" spans="1:49">
      <c r="A1" s="9" t="s">
        <v>401</v>
      </c>
      <c r="C1" s="83"/>
      <c r="D1" s="83"/>
      <c r="E1" s="83"/>
      <c r="F1" s="83"/>
      <c r="G1" s="83"/>
      <c r="H1" s="83"/>
      <c r="I1" s="83"/>
      <c r="J1" s="83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49">
      <c r="A2" s="58"/>
      <c r="B2" s="9" t="s">
        <v>241</v>
      </c>
      <c r="C2" s="58">
        <v>71.8</v>
      </c>
      <c r="D2" s="58">
        <v>71.5</v>
      </c>
      <c r="E2" s="58">
        <v>70.599999999999994</v>
      </c>
      <c r="F2" s="58">
        <v>72.5</v>
      </c>
      <c r="G2" s="58">
        <v>71.2</v>
      </c>
      <c r="H2" s="58">
        <v>71</v>
      </c>
      <c r="I2" s="58">
        <v>70.8</v>
      </c>
      <c r="J2" s="58">
        <v>72.3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Y2" s="101" t="s">
        <v>270</v>
      </c>
      <c r="Z2" s="101"/>
      <c r="AA2" s="101"/>
      <c r="AB2" s="101"/>
      <c r="AC2" s="101"/>
      <c r="AD2" s="101"/>
      <c r="AE2" s="101"/>
      <c r="AF2" s="101"/>
    </row>
    <row r="3" spans="1:49">
      <c r="A3" s="58"/>
      <c r="B3" s="9" t="s">
        <v>364</v>
      </c>
      <c r="C3" s="83" t="s">
        <v>175</v>
      </c>
      <c r="D3" s="83" t="s">
        <v>176</v>
      </c>
      <c r="E3" s="83" t="s">
        <v>177</v>
      </c>
      <c r="F3" s="83" t="s">
        <v>178</v>
      </c>
      <c r="G3" s="83" t="s">
        <v>179</v>
      </c>
      <c r="H3" s="83" t="s">
        <v>180</v>
      </c>
      <c r="I3" s="83" t="s">
        <v>181</v>
      </c>
      <c r="J3" s="83" t="s">
        <v>182</v>
      </c>
      <c r="K3" s="53" t="s">
        <v>195</v>
      </c>
      <c r="L3" s="53" t="s">
        <v>183</v>
      </c>
      <c r="M3" s="53" t="s">
        <v>184</v>
      </c>
      <c r="N3" s="53" t="s">
        <v>185</v>
      </c>
      <c r="O3" s="53" t="s">
        <v>186</v>
      </c>
      <c r="P3" s="53"/>
      <c r="Q3" s="53"/>
      <c r="R3" s="53"/>
      <c r="S3" s="53"/>
      <c r="T3" s="53"/>
      <c r="U3" s="53"/>
      <c r="Y3" s="88" t="s">
        <v>175</v>
      </c>
      <c r="Z3" s="88" t="s">
        <v>176</v>
      </c>
      <c r="AA3" s="88" t="s">
        <v>177</v>
      </c>
      <c r="AB3" s="88" t="s">
        <v>178</v>
      </c>
      <c r="AC3" s="88" t="s">
        <v>179</v>
      </c>
      <c r="AD3" s="88" t="s">
        <v>180</v>
      </c>
      <c r="AE3" s="88" t="s">
        <v>181</v>
      </c>
      <c r="AF3" s="88" t="s">
        <v>182</v>
      </c>
    </row>
    <row r="4" spans="1:49">
      <c r="A4" s="84"/>
      <c r="B4" s="84">
        <v>5</v>
      </c>
      <c r="C4" s="58">
        <v>2.2051500000000002</v>
      </c>
      <c r="D4" s="58">
        <v>2.2050000000000001</v>
      </c>
      <c r="E4" s="58">
        <v>2.2048999999999999</v>
      </c>
      <c r="F4" s="58">
        <v>2.2050000000000001</v>
      </c>
      <c r="G4" s="58">
        <v>2.2050000000000001</v>
      </c>
      <c r="H4" s="58">
        <v>2.2052</v>
      </c>
      <c r="I4" s="58">
        <v>2.2051500000000002</v>
      </c>
      <c r="J4" s="58">
        <v>2.2050000000000001</v>
      </c>
      <c r="K4" s="58">
        <f t="shared" ref="K4:K10" si="0">MIN(C4:J4)</f>
        <v>2.2048999999999999</v>
      </c>
      <c r="L4" s="58">
        <f t="shared" ref="L4:L10" si="1">MAX(C4:J4)</f>
        <v>2.2052</v>
      </c>
      <c r="M4" s="58">
        <f t="shared" ref="M4:M10" si="2">MODE(C4:J4)</f>
        <v>2.2050000000000001</v>
      </c>
      <c r="N4" s="58">
        <f t="shared" ref="N4:N10" si="3">K4-M4</f>
        <v>-1.0000000000021103E-4</v>
      </c>
      <c r="O4" s="58">
        <f t="shared" ref="O4:O10" si="4">L4-M4</f>
        <v>1.9999999999997797E-4</v>
      </c>
      <c r="P4" s="58"/>
      <c r="Q4" s="84">
        <v>5</v>
      </c>
      <c r="R4" s="84">
        <v>5</v>
      </c>
      <c r="S4" s="84">
        <v>5</v>
      </c>
      <c r="T4" s="84">
        <v>5</v>
      </c>
      <c r="U4" s="84">
        <v>5</v>
      </c>
      <c r="V4" s="84">
        <v>5</v>
      </c>
      <c r="W4" s="84">
        <v>5</v>
      </c>
      <c r="X4" s="84">
        <v>5</v>
      </c>
      <c r="Y4" s="58">
        <f>AVERAGE(C4,C10)-AVERAGE(C$4,C$10)</f>
        <v>0</v>
      </c>
      <c r="Z4" s="58">
        <f t="shared" ref="Z4:AF4" si="5">AVERAGE(D4,D10)-AVERAGE(D$4,D$10)</f>
        <v>0</v>
      </c>
      <c r="AA4" s="58">
        <f t="shared" si="5"/>
        <v>0</v>
      </c>
      <c r="AB4" s="58">
        <f t="shared" si="5"/>
        <v>0</v>
      </c>
      <c r="AC4" s="58">
        <f t="shared" si="5"/>
        <v>0</v>
      </c>
      <c r="AD4" s="58">
        <f t="shared" si="5"/>
        <v>0</v>
      </c>
      <c r="AE4" s="58">
        <f t="shared" si="5"/>
        <v>0</v>
      </c>
      <c r="AF4" s="58">
        <f t="shared" si="5"/>
        <v>0</v>
      </c>
    </row>
    <row r="5" spans="1:49">
      <c r="A5" s="84"/>
      <c r="B5" s="84">
        <v>19.75</v>
      </c>
      <c r="C5" s="58">
        <v>2.2048999999999999</v>
      </c>
      <c r="D5" s="58">
        <v>2.2048999999999999</v>
      </c>
      <c r="E5" s="58">
        <v>2.2048999999999999</v>
      </c>
      <c r="F5" s="58">
        <v>2.2048000000000001</v>
      </c>
      <c r="G5" s="58">
        <v>2.2048999999999999</v>
      </c>
      <c r="H5" s="58">
        <v>2.2050000000000001</v>
      </c>
      <c r="I5" s="58">
        <v>2.2048999999999999</v>
      </c>
      <c r="J5" s="58">
        <v>2.2046999999999999</v>
      </c>
      <c r="K5" s="58">
        <f t="shared" si="0"/>
        <v>2.2046999999999999</v>
      </c>
      <c r="L5" s="58">
        <f t="shared" si="1"/>
        <v>2.2050000000000001</v>
      </c>
      <c r="M5" s="58">
        <f t="shared" si="2"/>
        <v>2.2048999999999999</v>
      </c>
      <c r="N5" s="58">
        <f t="shared" si="3"/>
        <v>-1.9999999999997797E-4</v>
      </c>
      <c r="O5" s="58">
        <f t="shared" si="4"/>
        <v>1.0000000000021103E-4</v>
      </c>
      <c r="P5" s="58"/>
      <c r="Q5" s="84">
        <v>19.75</v>
      </c>
      <c r="R5" s="84">
        <v>19.75</v>
      </c>
      <c r="S5" s="84">
        <v>19.75</v>
      </c>
      <c r="T5" s="84">
        <v>19.75</v>
      </c>
      <c r="U5" s="84">
        <v>19.75</v>
      </c>
      <c r="V5" s="84">
        <v>19.75</v>
      </c>
      <c r="W5" s="84">
        <v>19.75</v>
      </c>
      <c r="X5" s="84">
        <v>19.75</v>
      </c>
      <c r="Y5" s="58">
        <f>AVERAGE(C5,C9)-AVERAGE(C$4,C$10)</f>
        <v>-3.2500000000013074E-4</v>
      </c>
      <c r="Z5" s="58">
        <f t="shared" ref="Z5:AF5" si="6">AVERAGE(D5,D9)-AVERAGE(D$4,D$10)</f>
        <v>-1.7500000000003624E-4</v>
      </c>
      <c r="AA5" s="58">
        <f t="shared" si="6"/>
        <v>-1.0000000000021103E-4</v>
      </c>
      <c r="AB5" s="58">
        <f t="shared" si="6"/>
        <v>-3.2499999999968665E-4</v>
      </c>
      <c r="AC5" s="58">
        <f t="shared" si="6"/>
        <v>-1.2500000000015277E-4</v>
      </c>
      <c r="AD5" s="58">
        <f t="shared" si="6"/>
        <v>-1.9999999999953388E-4</v>
      </c>
      <c r="AE5" s="58">
        <f t="shared" si="6"/>
        <v>-3.00000000000189E-4</v>
      </c>
      <c r="AF5" s="58">
        <f t="shared" si="6"/>
        <v>-3.00000000000189E-4</v>
      </c>
    </row>
    <row r="6" spans="1:49">
      <c r="A6" s="84"/>
      <c r="B6" s="84">
        <v>45</v>
      </c>
      <c r="C6" s="58">
        <v>2.2044000000000001</v>
      </c>
      <c r="D6" s="58">
        <v>2.2046000000000001</v>
      </c>
      <c r="E6" s="58">
        <v>2.2044999999999999</v>
      </c>
      <c r="F6" s="58">
        <v>2.2044000000000001</v>
      </c>
      <c r="G6" s="58">
        <v>2.2044000000000001</v>
      </c>
      <c r="H6" s="58">
        <v>2.2046000000000001</v>
      </c>
      <c r="I6" s="58">
        <v>2.2046000000000001</v>
      </c>
      <c r="J6" s="58">
        <v>2.2044000000000001</v>
      </c>
      <c r="K6" s="58">
        <f t="shared" si="0"/>
        <v>2.2044000000000001</v>
      </c>
      <c r="L6" s="58">
        <f t="shared" si="1"/>
        <v>2.2046000000000001</v>
      </c>
      <c r="M6" s="58">
        <f t="shared" si="2"/>
        <v>2.2044000000000001</v>
      </c>
      <c r="N6" s="58">
        <f t="shared" si="3"/>
        <v>0</v>
      </c>
      <c r="O6" s="58">
        <f t="shared" si="4"/>
        <v>1.9999999999997797E-4</v>
      </c>
      <c r="P6" s="58"/>
      <c r="Q6" s="84">
        <v>45</v>
      </c>
      <c r="R6" s="84">
        <v>45</v>
      </c>
      <c r="S6" s="84">
        <v>45</v>
      </c>
      <c r="T6" s="84">
        <v>45</v>
      </c>
      <c r="U6" s="84">
        <v>45</v>
      </c>
      <c r="V6" s="84">
        <v>45</v>
      </c>
      <c r="W6" s="84">
        <v>45</v>
      </c>
      <c r="X6" s="84">
        <v>45</v>
      </c>
      <c r="Y6" s="58">
        <f>AVERAGE(C6,C8)-AVERAGE(C$4,C$10)</f>
        <v>-7.5000000000002842E-4</v>
      </c>
      <c r="Z6" s="58">
        <f t="shared" ref="Z6:AF6" si="7">AVERAGE(D6,D8)-AVERAGE(D$4,D$10)</f>
        <v>-5.9999999999993392E-4</v>
      </c>
      <c r="AA6" s="58">
        <f t="shared" si="7"/>
        <v>-3.5000000000007248E-4</v>
      </c>
      <c r="AB6" s="58">
        <f t="shared" si="7"/>
        <v>-7.5000000000002842E-4</v>
      </c>
      <c r="AC6" s="58">
        <f t="shared" si="7"/>
        <v>-5.9999999999993392E-4</v>
      </c>
      <c r="AD6" s="58">
        <f t="shared" si="7"/>
        <v>-4.9999999999972289E-4</v>
      </c>
      <c r="AE6" s="58">
        <f t="shared" si="7"/>
        <v>-5.9999999999993392E-4</v>
      </c>
      <c r="AF6" s="58">
        <f t="shared" si="7"/>
        <v>-5.7499999999999218E-4</v>
      </c>
    </row>
    <row r="7" spans="1:49">
      <c r="A7" s="84"/>
      <c r="B7" s="84">
        <v>90</v>
      </c>
      <c r="C7" s="58">
        <v>2.2042000000000002</v>
      </c>
      <c r="D7" s="58">
        <v>2.2042000000000002</v>
      </c>
      <c r="E7" s="58">
        <v>2.2046000000000001</v>
      </c>
      <c r="F7" s="58">
        <v>2.2042000000000002</v>
      </c>
      <c r="G7" s="58">
        <v>2.2042000000000002</v>
      </c>
      <c r="H7" s="58">
        <v>2.2042999999999999</v>
      </c>
      <c r="I7" s="58">
        <v>2.2044000000000001</v>
      </c>
      <c r="J7" s="58">
        <v>2.2042000000000002</v>
      </c>
      <c r="K7" s="58">
        <f t="shared" si="0"/>
        <v>2.2042000000000002</v>
      </c>
      <c r="L7" s="58">
        <f t="shared" si="1"/>
        <v>2.2046000000000001</v>
      </c>
      <c r="M7" s="58">
        <f t="shared" si="2"/>
        <v>2.2042000000000002</v>
      </c>
      <c r="N7" s="58">
        <f t="shared" si="3"/>
        <v>0</v>
      </c>
      <c r="O7" s="58">
        <f t="shared" si="4"/>
        <v>3.9999999999995595E-4</v>
      </c>
      <c r="P7" s="58"/>
      <c r="Q7" s="84">
        <v>90</v>
      </c>
      <c r="R7" s="84">
        <v>90</v>
      </c>
      <c r="S7" s="84">
        <v>90</v>
      </c>
      <c r="T7" s="84">
        <v>90</v>
      </c>
      <c r="U7" s="84">
        <v>90</v>
      </c>
      <c r="V7" s="84">
        <v>90</v>
      </c>
      <c r="W7" s="84">
        <v>90</v>
      </c>
      <c r="X7" s="84">
        <v>90</v>
      </c>
      <c r="Y7" s="58">
        <f>C7-AVERAGE(C$4,C$10)</f>
        <v>-8.749999999997371E-4</v>
      </c>
      <c r="Z7" s="58">
        <f t="shared" ref="Z7:AF7" si="8">D7-AVERAGE(D$4,D$10)</f>
        <v>-7.9999999999991189E-4</v>
      </c>
      <c r="AA7" s="58">
        <f t="shared" si="8"/>
        <v>-3.5000000000007248E-4</v>
      </c>
      <c r="AB7" s="58">
        <f t="shared" si="8"/>
        <v>-8.9999999999967883E-4</v>
      </c>
      <c r="AC7" s="58">
        <f t="shared" si="8"/>
        <v>-7.9999999999991189E-4</v>
      </c>
      <c r="AD7" s="58">
        <f t="shared" si="8"/>
        <v>-7.9999999999991189E-4</v>
      </c>
      <c r="AE7" s="58">
        <f t="shared" si="8"/>
        <v>-7.5000000000002842E-4</v>
      </c>
      <c r="AF7" s="58">
        <f t="shared" si="8"/>
        <v>-7.7499999999997016E-4</v>
      </c>
    </row>
    <row r="8" spans="1:49">
      <c r="A8" s="84"/>
      <c r="B8" s="84">
        <v>135</v>
      </c>
      <c r="C8" s="58">
        <v>2.20425</v>
      </c>
      <c r="D8" s="58">
        <v>2.2042000000000002</v>
      </c>
      <c r="E8" s="58">
        <v>2.2046999999999999</v>
      </c>
      <c r="F8" s="58">
        <v>2.2042999999999999</v>
      </c>
      <c r="G8" s="58">
        <v>2.2044000000000001</v>
      </c>
      <c r="H8" s="58">
        <v>2.2046000000000001</v>
      </c>
      <c r="I8" s="58">
        <v>2.2044999999999999</v>
      </c>
      <c r="J8" s="58">
        <v>2.2044000000000001</v>
      </c>
      <c r="K8" s="58">
        <f t="shared" si="0"/>
        <v>2.2042000000000002</v>
      </c>
      <c r="L8" s="58">
        <f t="shared" si="1"/>
        <v>2.2046999999999999</v>
      </c>
      <c r="M8" s="58">
        <f t="shared" si="2"/>
        <v>2.2044000000000001</v>
      </c>
      <c r="N8" s="58">
        <f t="shared" si="3"/>
        <v>-1.9999999999997797E-4</v>
      </c>
      <c r="O8" s="58">
        <f t="shared" si="4"/>
        <v>2.9999999999974492E-4</v>
      </c>
      <c r="P8" s="58"/>
      <c r="Q8" s="84">
        <v>135</v>
      </c>
      <c r="R8" s="84">
        <v>135</v>
      </c>
      <c r="S8" s="84">
        <v>135</v>
      </c>
      <c r="T8" s="84">
        <v>135</v>
      </c>
      <c r="U8" s="84">
        <v>135</v>
      </c>
      <c r="V8" s="84">
        <v>135</v>
      </c>
      <c r="W8" s="84">
        <v>135</v>
      </c>
      <c r="X8" s="84">
        <v>135</v>
      </c>
      <c r="Y8" s="58">
        <f>AVERAGE(C6,C8)-AVERAGE(C$4,C$10)</f>
        <v>-7.5000000000002842E-4</v>
      </c>
      <c r="Z8" s="58">
        <f t="shared" ref="Z8:AF8" si="9">AVERAGE(D6,D8)-AVERAGE(D$4,D$10)</f>
        <v>-5.9999999999993392E-4</v>
      </c>
      <c r="AA8" s="58">
        <f t="shared" si="9"/>
        <v>-3.5000000000007248E-4</v>
      </c>
      <c r="AB8" s="58">
        <f t="shared" si="9"/>
        <v>-7.5000000000002842E-4</v>
      </c>
      <c r="AC8" s="58">
        <f t="shared" si="9"/>
        <v>-5.9999999999993392E-4</v>
      </c>
      <c r="AD8" s="58">
        <f t="shared" si="9"/>
        <v>-4.9999999999972289E-4</v>
      </c>
      <c r="AE8" s="58">
        <f t="shared" si="9"/>
        <v>-5.9999999999993392E-4</v>
      </c>
      <c r="AF8" s="58">
        <f t="shared" si="9"/>
        <v>-5.7499999999999218E-4</v>
      </c>
    </row>
    <row r="9" spans="1:49">
      <c r="A9" s="84"/>
      <c r="B9" s="84">
        <v>160.25</v>
      </c>
      <c r="C9" s="58">
        <v>2.2046000000000001</v>
      </c>
      <c r="D9" s="58">
        <v>2.2047500000000002</v>
      </c>
      <c r="E9" s="58">
        <v>2.2048000000000001</v>
      </c>
      <c r="F9" s="58">
        <v>2.2047500000000002</v>
      </c>
      <c r="G9" s="58">
        <v>2.20485</v>
      </c>
      <c r="H9" s="58">
        <v>2.2048000000000001</v>
      </c>
      <c r="I9" s="58">
        <v>2.2048000000000001</v>
      </c>
      <c r="J9" s="58">
        <v>2.20465</v>
      </c>
      <c r="K9" s="58">
        <f t="shared" si="0"/>
        <v>2.2046000000000001</v>
      </c>
      <c r="L9" s="58">
        <f t="shared" si="1"/>
        <v>2.20485</v>
      </c>
      <c r="M9" s="58">
        <f t="shared" si="2"/>
        <v>2.2048000000000001</v>
      </c>
      <c r="N9" s="58">
        <f t="shared" si="3"/>
        <v>-1.9999999999997797E-4</v>
      </c>
      <c r="O9" s="58">
        <f t="shared" si="4"/>
        <v>4.9999999999883471E-5</v>
      </c>
      <c r="P9" s="58"/>
      <c r="Q9" s="84">
        <v>160.25</v>
      </c>
      <c r="R9" s="84">
        <v>160.25</v>
      </c>
      <c r="S9" s="84">
        <v>160.25</v>
      </c>
      <c r="T9" s="84">
        <v>160.25</v>
      </c>
      <c r="U9" s="84">
        <v>160.25</v>
      </c>
      <c r="V9" s="84">
        <v>160.25</v>
      </c>
      <c r="W9" s="84">
        <v>160.25</v>
      </c>
      <c r="X9" s="84">
        <v>160.25</v>
      </c>
      <c r="Y9" s="58">
        <f>AVERAGE(C5,C9)-AVERAGE(C$4,C$10)</f>
        <v>-3.2500000000013074E-4</v>
      </c>
      <c r="Z9" s="58">
        <f t="shared" ref="Z9:AF9" si="10">AVERAGE(D5,D9)-AVERAGE(D$4,D$10)</f>
        <v>-1.7500000000003624E-4</v>
      </c>
      <c r="AA9" s="58">
        <f t="shared" si="10"/>
        <v>-1.0000000000021103E-4</v>
      </c>
      <c r="AB9" s="58">
        <f t="shared" si="10"/>
        <v>-3.2499999999968665E-4</v>
      </c>
      <c r="AC9" s="58">
        <f t="shared" si="10"/>
        <v>-1.2500000000015277E-4</v>
      </c>
      <c r="AD9" s="58">
        <f t="shared" si="10"/>
        <v>-1.9999999999953388E-4</v>
      </c>
      <c r="AE9" s="58">
        <f t="shared" si="10"/>
        <v>-3.00000000000189E-4</v>
      </c>
      <c r="AF9" s="58">
        <f t="shared" si="10"/>
        <v>-3.00000000000189E-4</v>
      </c>
    </row>
    <row r="10" spans="1:49">
      <c r="A10" s="84"/>
      <c r="B10" s="84">
        <v>175</v>
      </c>
      <c r="C10" s="58">
        <v>2.2050000000000001</v>
      </c>
      <c r="D10" s="58">
        <v>2.2050000000000001</v>
      </c>
      <c r="E10" s="58">
        <v>2.2050000000000001</v>
      </c>
      <c r="F10" s="58">
        <v>2.2052</v>
      </c>
      <c r="G10" s="58">
        <v>2.2050000000000001</v>
      </c>
      <c r="H10" s="58">
        <v>2.2050000000000001</v>
      </c>
      <c r="I10" s="58">
        <v>2.2051500000000002</v>
      </c>
      <c r="J10" s="58">
        <v>2.2049500000000002</v>
      </c>
      <c r="K10" s="58">
        <f t="shared" si="0"/>
        <v>2.2049500000000002</v>
      </c>
      <c r="L10" s="58">
        <f t="shared" si="1"/>
        <v>2.2052</v>
      </c>
      <c r="M10" s="58">
        <f t="shared" si="2"/>
        <v>2.2050000000000001</v>
      </c>
      <c r="N10" s="58">
        <f t="shared" si="3"/>
        <v>-4.9999999999883471E-5</v>
      </c>
      <c r="O10" s="58">
        <f t="shared" si="4"/>
        <v>1.9999999999997797E-4</v>
      </c>
      <c r="P10" s="58"/>
      <c r="Q10" s="84">
        <v>175</v>
      </c>
      <c r="R10" s="84">
        <v>175</v>
      </c>
      <c r="S10" s="84">
        <v>175</v>
      </c>
      <c r="T10" s="84">
        <v>175</v>
      </c>
      <c r="U10" s="84">
        <v>175</v>
      </c>
      <c r="V10" s="84">
        <v>175</v>
      </c>
      <c r="W10" s="84">
        <v>175</v>
      </c>
      <c r="X10" s="84">
        <v>175</v>
      </c>
      <c r="Y10" s="58">
        <f>AVERAGE(C4,C10)-AVERAGE(C$4,C$10)</f>
        <v>0</v>
      </c>
      <c r="Z10" s="58">
        <f t="shared" ref="Z10:AF10" si="11">AVERAGE(D4,D10)-AVERAGE(D$4,D$10)</f>
        <v>0</v>
      </c>
      <c r="AA10" s="58">
        <f t="shared" si="11"/>
        <v>0</v>
      </c>
      <c r="AB10" s="58">
        <f t="shared" si="11"/>
        <v>0</v>
      </c>
      <c r="AC10" s="58">
        <f t="shared" si="11"/>
        <v>0</v>
      </c>
      <c r="AD10" s="58">
        <f t="shared" si="11"/>
        <v>0</v>
      </c>
      <c r="AE10" s="58">
        <f t="shared" si="11"/>
        <v>0</v>
      </c>
      <c r="AF10" s="58">
        <f t="shared" si="11"/>
        <v>0</v>
      </c>
    </row>
    <row r="11" spans="1:49">
      <c r="P11" s="9" t="s">
        <v>367</v>
      </c>
      <c r="Q11" s="84">
        <v>5</v>
      </c>
      <c r="R11" s="84">
        <v>5</v>
      </c>
      <c r="S11" s="84">
        <v>5</v>
      </c>
      <c r="T11" s="84">
        <v>5</v>
      </c>
      <c r="U11" s="84">
        <v>5</v>
      </c>
      <c r="V11" s="84">
        <v>5</v>
      </c>
      <c r="W11" s="84">
        <v>5</v>
      </c>
      <c r="X11" s="84">
        <v>5</v>
      </c>
      <c r="Y11" s="58">
        <f>Y4-'OEM Rod Bolts'!$AG4</f>
        <v>0</v>
      </c>
      <c r="Z11" s="58">
        <f>Z4-'OEM Rod Bolts'!$AG4</f>
        <v>0</v>
      </c>
      <c r="AA11" s="58">
        <f>AA4-'OEM Rod Bolts'!$AG4</f>
        <v>0</v>
      </c>
      <c r="AB11" s="58">
        <f>AB4-'OEM Rod Bolts'!$AG4</f>
        <v>0</v>
      </c>
      <c r="AC11" s="58">
        <f>AC4-'OEM Rod Bolts'!$AG4</f>
        <v>0</v>
      </c>
      <c r="AD11" s="58">
        <f>AD4-'OEM Rod Bolts'!$AG4</f>
        <v>0</v>
      </c>
      <c r="AE11" s="58">
        <f>AE4-'OEM Rod Bolts'!$AG4</f>
        <v>0</v>
      </c>
      <c r="AF11" s="58">
        <f>AF4-'OEM Rod Bolts'!$AG4</f>
        <v>0</v>
      </c>
      <c r="AG11" s="9" t="s">
        <v>367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f>AH11-Y11</f>
        <v>0</v>
      </c>
      <c r="AQ11" s="58">
        <f t="shared" ref="AQ11:AW17" si="12">AI11-Z11</f>
        <v>0</v>
      </c>
      <c r="AR11" s="58">
        <f t="shared" si="12"/>
        <v>0</v>
      </c>
      <c r="AS11" s="58">
        <f t="shared" si="12"/>
        <v>0</v>
      </c>
      <c r="AT11" s="58">
        <f t="shared" si="12"/>
        <v>0</v>
      </c>
      <c r="AU11" s="58">
        <f t="shared" si="12"/>
        <v>0</v>
      </c>
      <c r="AV11" s="58">
        <f t="shared" si="12"/>
        <v>0</v>
      </c>
      <c r="AW11" s="58">
        <f t="shared" si="12"/>
        <v>0</v>
      </c>
    </row>
    <row r="12" spans="1:49">
      <c r="P12" s="9" t="s">
        <v>367</v>
      </c>
      <c r="Q12" s="84">
        <v>19.75</v>
      </c>
      <c r="R12" s="84">
        <v>19.75</v>
      </c>
      <c r="S12" s="84">
        <v>19.75</v>
      </c>
      <c r="T12" s="84">
        <v>19.75</v>
      </c>
      <c r="U12" s="84">
        <v>19.75</v>
      </c>
      <c r="V12" s="84">
        <v>19.75</v>
      </c>
      <c r="W12" s="84">
        <v>19.75</v>
      </c>
      <c r="X12" s="84">
        <v>19.75</v>
      </c>
      <c r="Y12" s="58">
        <f>Y5-'OEM Rod Bolts'!$AG5</f>
        <v>-2.8437500000000338E-4</v>
      </c>
      <c r="Z12" s="58">
        <f>Z5-'OEM Rod Bolts'!$AG5</f>
        <v>-1.3437499999990887E-4</v>
      </c>
      <c r="AA12" s="58">
        <f>AA5-'OEM Rod Bolts'!$AG5</f>
        <v>-5.9375000000083666E-5</v>
      </c>
      <c r="AB12" s="58">
        <f>AB5-'OEM Rod Bolts'!$AG5</f>
        <v>-2.8437499999955929E-4</v>
      </c>
      <c r="AC12" s="58">
        <f>AC5-'OEM Rod Bolts'!$AG5</f>
        <v>-8.4375000000025402E-5</v>
      </c>
      <c r="AD12" s="58">
        <f>AD5-'OEM Rod Bolts'!$AG5</f>
        <v>-1.5937499999940652E-4</v>
      </c>
      <c r="AE12" s="58">
        <f>AE5-'OEM Rod Bolts'!$AG5</f>
        <v>-2.5937500000006164E-4</v>
      </c>
      <c r="AF12" s="58">
        <f>AF5-'OEM Rod Bolts'!$AG5</f>
        <v>-2.5937500000006164E-4</v>
      </c>
      <c r="AG12" s="9" t="s">
        <v>367</v>
      </c>
      <c r="AH12" s="58">
        <v>-2.8437500000000338E-4</v>
      </c>
      <c r="AI12" s="58">
        <v>-1.3437499999990887E-4</v>
      </c>
      <c r="AJ12" s="58">
        <v>-5.9375000000083666E-5</v>
      </c>
      <c r="AK12" s="58">
        <v>-2.8437499999955929E-4</v>
      </c>
      <c r="AL12" s="58">
        <v>-8.4375000000025402E-5</v>
      </c>
      <c r="AM12" s="58">
        <v>-1.5937499999940652E-4</v>
      </c>
      <c r="AN12" s="58">
        <v>-2.5937500000006164E-4</v>
      </c>
      <c r="AO12" s="58">
        <v>-2.5937500000006164E-4</v>
      </c>
      <c r="AP12" s="58">
        <f t="shared" ref="AP12:AP17" si="13">AH12-Y12</f>
        <v>0</v>
      </c>
      <c r="AQ12" s="58">
        <f t="shared" si="12"/>
        <v>0</v>
      </c>
      <c r="AR12" s="58">
        <f t="shared" si="12"/>
        <v>0</v>
      </c>
      <c r="AS12" s="58">
        <f t="shared" si="12"/>
        <v>0</v>
      </c>
      <c r="AT12" s="58">
        <f t="shared" si="12"/>
        <v>0</v>
      </c>
      <c r="AU12" s="58">
        <f t="shared" si="12"/>
        <v>0</v>
      </c>
      <c r="AV12" s="58">
        <f t="shared" si="12"/>
        <v>0</v>
      </c>
      <c r="AW12" s="58">
        <f t="shared" si="12"/>
        <v>0</v>
      </c>
    </row>
    <row r="13" spans="1:49">
      <c r="P13" s="9" t="s">
        <v>367</v>
      </c>
      <c r="Q13" s="84">
        <v>45</v>
      </c>
      <c r="R13" s="84">
        <v>45</v>
      </c>
      <c r="S13" s="84">
        <v>45</v>
      </c>
      <c r="T13" s="84">
        <v>45</v>
      </c>
      <c r="U13" s="84">
        <v>45</v>
      </c>
      <c r="V13" s="84">
        <v>45</v>
      </c>
      <c r="W13" s="84">
        <v>45</v>
      </c>
      <c r="X13" s="84">
        <v>45</v>
      </c>
      <c r="Y13" s="58">
        <f>Y6-'OEM Rod Bolts'!$AG6</f>
        <v>-5.9687500000005222E-4</v>
      </c>
      <c r="Z13" s="58">
        <f>Z6-'OEM Rod Bolts'!$AG6</f>
        <v>-4.4687499999995772E-4</v>
      </c>
      <c r="AA13" s="58">
        <f>AA6-'OEM Rod Bolts'!$AG6</f>
        <v>-1.9687500000009628E-4</v>
      </c>
      <c r="AB13" s="58">
        <f>AB6-'OEM Rod Bolts'!$AG6</f>
        <v>-5.9687500000005222E-4</v>
      </c>
      <c r="AC13" s="58">
        <f>AC6-'OEM Rod Bolts'!$AG6</f>
        <v>-4.4687499999995772E-4</v>
      </c>
      <c r="AD13" s="58">
        <f>AD6-'OEM Rod Bolts'!$AG6</f>
        <v>-3.4687499999974669E-4</v>
      </c>
      <c r="AE13" s="58">
        <f>AE6-'OEM Rod Bolts'!$AG6</f>
        <v>-4.4687499999995772E-4</v>
      </c>
      <c r="AF13" s="58">
        <f>AF6-'OEM Rod Bolts'!$AG6</f>
        <v>-4.2187500000001599E-4</v>
      </c>
      <c r="AG13" s="9" t="s">
        <v>367</v>
      </c>
      <c r="AH13" s="58">
        <v>-5.9687500000005222E-4</v>
      </c>
      <c r="AI13" s="58">
        <v>-4.4687499999995772E-4</v>
      </c>
      <c r="AJ13" s="58">
        <v>-1.9687500000009628E-4</v>
      </c>
      <c r="AK13" s="58">
        <v>-5.9687500000005222E-4</v>
      </c>
      <c r="AL13" s="58">
        <v>-4.4687499999995772E-4</v>
      </c>
      <c r="AM13" s="58">
        <v>-3.4687499999974669E-4</v>
      </c>
      <c r="AN13" s="58">
        <v>-4.4687499999995772E-4</v>
      </c>
      <c r="AO13" s="58">
        <v>-4.2187500000001599E-4</v>
      </c>
      <c r="AP13" s="58">
        <f t="shared" si="13"/>
        <v>0</v>
      </c>
      <c r="AQ13" s="58">
        <f t="shared" si="12"/>
        <v>0</v>
      </c>
      <c r="AR13" s="58">
        <f t="shared" si="12"/>
        <v>0</v>
      </c>
      <c r="AS13" s="58">
        <f t="shared" si="12"/>
        <v>0</v>
      </c>
      <c r="AT13" s="58">
        <f t="shared" si="12"/>
        <v>0</v>
      </c>
      <c r="AU13" s="58">
        <f t="shared" si="12"/>
        <v>0</v>
      </c>
      <c r="AV13" s="58">
        <f t="shared" si="12"/>
        <v>0</v>
      </c>
      <c r="AW13" s="58">
        <f t="shared" si="12"/>
        <v>0</v>
      </c>
    </row>
    <row r="14" spans="1:49">
      <c r="P14" s="9" t="s">
        <v>367</v>
      </c>
      <c r="Q14" s="84">
        <v>90</v>
      </c>
      <c r="R14" s="84">
        <v>90</v>
      </c>
      <c r="S14" s="84">
        <v>90</v>
      </c>
      <c r="T14" s="84">
        <v>90</v>
      </c>
      <c r="U14" s="84">
        <v>90</v>
      </c>
      <c r="V14" s="84">
        <v>90</v>
      </c>
      <c r="W14" s="84">
        <v>90</v>
      </c>
      <c r="X14" s="84">
        <v>90</v>
      </c>
      <c r="Y14" s="58">
        <f>Y7-'OEM Rod Bolts'!$AG7</f>
        <v>-6.4999999999976188E-4</v>
      </c>
      <c r="Z14" s="58">
        <f>Z7-'OEM Rod Bolts'!$AG7</f>
        <v>-5.7499999999993667E-4</v>
      </c>
      <c r="AA14" s="58">
        <f>AA7-'OEM Rod Bolts'!$AG7</f>
        <v>-1.2500000000009726E-4</v>
      </c>
      <c r="AB14" s="58">
        <f>AB7-'OEM Rod Bolts'!$AG7</f>
        <v>-6.7499999999970361E-4</v>
      </c>
      <c r="AC14" s="58">
        <f>AC7-'OEM Rod Bolts'!$AG7</f>
        <v>-5.7499999999993667E-4</v>
      </c>
      <c r="AD14" s="58">
        <f>AD7-'OEM Rod Bolts'!$AG7</f>
        <v>-5.7499999999993667E-4</v>
      </c>
      <c r="AE14" s="58">
        <f>AE7-'OEM Rod Bolts'!$AG7</f>
        <v>-5.250000000000532E-4</v>
      </c>
      <c r="AF14" s="58">
        <f>AF7-'OEM Rod Bolts'!$AG7</f>
        <v>-5.4999999999999494E-4</v>
      </c>
      <c r="AG14" s="9" t="s">
        <v>367</v>
      </c>
      <c r="AH14" s="58">
        <v>-6.4999999999976188E-4</v>
      </c>
      <c r="AI14" s="58">
        <v>-5.7499999999993667E-4</v>
      </c>
      <c r="AJ14" s="58">
        <v>-1.2500000000009726E-4</v>
      </c>
      <c r="AK14" s="58">
        <v>-6.7499999999970361E-4</v>
      </c>
      <c r="AL14" s="58">
        <v>-5.7499999999993667E-4</v>
      </c>
      <c r="AM14" s="58">
        <v>-5.7499999999993667E-4</v>
      </c>
      <c r="AN14" s="58">
        <v>-5.250000000000532E-4</v>
      </c>
      <c r="AO14" s="58">
        <v>-5.4999999999999494E-4</v>
      </c>
      <c r="AP14" s="58">
        <f t="shared" si="13"/>
        <v>0</v>
      </c>
      <c r="AQ14" s="58">
        <f t="shared" si="12"/>
        <v>0</v>
      </c>
      <c r="AR14" s="58">
        <f t="shared" si="12"/>
        <v>0</v>
      </c>
      <c r="AS14" s="58">
        <f t="shared" si="12"/>
        <v>0</v>
      </c>
      <c r="AT14" s="58">
        <f t="shared" si="12"/>
        <v>0</v>
      </c>
      <c r="AU14" s="58">
        <f t="shared" si="12"/>
        <v>0</v>
      </c>
      <c r="AV14" s="58">
        <f t="shared" si="12"/>
        <v>0</v>
      </c>
      <c r="AW14" s="58">
        <f t="shared" si="12"/>
        <v>0</v>
      </c>
    </row>
    <row r="15" spans="1:49">
      <c r="P15" s="9" t="s">
        <v>367</v>
      </c>
      <c r="Q15" s="84">
        <v>135</v>
      </c>
      <c r="R15" s="84">
        <v>135</v>
      </c>
      <c r="S15" s="84">
        <v>135</v>
      </c>
      <c r="T15" s="84">
        <v>135</v>
      </c>
      <c r="U15" s="84">
        <v>135</v>
      </c>
      <c r="V15" s="84">
        <v>135</v>
      </c>
      <c r="W15" s="84">
        <v>135</v>
      </c>
      <c r="X15" s="84">
        <v>135</v>
      </c>
      <c r="Y15" s="58">
        <f>Y8-'OEM Rod Bolts'!$AG8</f>
        <v>-5.9687500000005222E-4</v>
      </c>
      <c r="Z15" s="58">
        <f>Z8-'OEM Rod Bolts'!$AG8</f>
        <v>-4.4687499999995772E-4</v>
      </c>
      <c r="AA15" s="58">
        <f>AA8-'OEM Rod Bolts'!$AG8</f>
        <v>-1.9687500000009628E-4</v>
      </c>
      <c r="AB15" s="58">
        <f>AB8-'OEM Rod Bolts'!$AG8</f>
        <v>-5.9687500000005222E-4</v>
      </c>
      <c r="AC15" s="58">
        <f>AC8-'OEM Rod Bolts'!$AG8</f>
        <v>-4.4687499999995772E-4</v>
      </c>
      <c r="AD15" s="58">
        <f>AD8-'OEM Rod Bolts'!$AG8</f>
        <v>-3.4687499999974669E-4</v>
      </c>
      <c r="AE15" s="58">
        <f>AE8-'OEM Rod Bolts'!$AG8</f>
        <v>-4.4687499999995772E-4</v>
      </c>
      <c r="AF15" s="58">
        <f>AF8-'OEM Rod Bolts'!$AG8</f>
        <v>-4.2187500000001599E-4</v>
      </c>
      <c r="AG15" s="9" t="s">
        <v>367</v>
      </c>
      <c r="AH15" s="58">
        <v>-5.9687500000005222E-4</v>
      </c>
      <c r="AI15" s="58">
        <v>-4.4687499999995772E-4</v>
      </c>
      <c r="AJ15" s="58">
        <v>-1.9687500000009628E-4</v>
      </c>
      <c r="AK15" s="58">
        <v>-5.9687500000005222E-4</v>
      </c>
      <c r="AL15" s="58">
        <v>-4.4687499999995772E-4</v>
      </c>
      <c r="AM15" s="58">
        <v>-3.4687499999974669E-4</v>
      </c>
      <c r="AN15" s="58">
        <v>-4.4687499999995772E-4</v>
      </c>
      <c r="AO15" s="58">
        <v>-4.2187500000001599E-4</v>
      </c>
      <c r="AP15" s="58">
        <f t="shared" si="13"/>
        <v>0</v>
      </c>
      <c r="AQ15" s="58">
        <f t="shared" si="12"/>
        <v>0</v>
      </c>
      <c r="AR15" s="58">
        <f t="shared" si="12"/>
        <v>0</v>
      </c>
      <c r="AS15" s="58">
        <f t="shared" si="12"/>
        <v>0</v>
      </c>
      <c r="AT15" s="58">
        <f t="shared" si="12"/>
        <v>0</v>
      </c>
      <c r="AU15" s="58">
        <f t="shared" si="12"/>
        <v>0</v>
      </c>
      <c r="AV15" s="58">
        <f t="shared" si="12"/>
        <v>0</v>
      </c>
      <c r="AW15" s="58">
        <f t="shared" si="12"/>
        <v>0</v>
      </c>
    </row>
    <row r="16" spans="1:49">
      <c r="P16" s="9" t="s">
        <v>367</v>
      </c>
      <c r="Q16" s="84">
        <v>160.25</v>
      </c>
      <c r="R16" s="84">
        <v>160.25</v>
      </c>
      <c r="S16" s="84">
        <v>160.25</v>
      </c>
      <c r="T16" s="84">
        <v>160.25</v>
      </c>
      <c r="U16" s="84">
        <v>160.25</v>
      </c>
      <c r="V16" s="84">
        <v>160.25</v>
      </c>
      <c r="W16" s="84">
        <v>160.25</v>
      </c>
      <c r="X16" s="84">
        <v>160.25</v>
      </c>
      <c r="Y16" s="58">
        <f>Y9-'OEM Rod Bolts'!$AG9</f>
        <v>-2.8437500000000338E-4</v>
      </c>
      <c r="Z16" s="58">
        <f>Z9-'OEM Rod Bolts'!$AG9</f>
        <v>-1.3437499999990887E-4</v>
      </c>
      <c r="AA16" s="58">
        <f>AA9-'OEM Rod Bolts'!$AG9</f>
        <v>-5.9375000000083666E-5</v>
      </c>
      <c r="AB16" s="58">
        <f>AB9-'OEM Rod Bolts'!$AG9</f>
        <v>-2.8437499999955929E-4</v>
      </c>
      <c r="AC16" s="58">
        <f>AC9-'OEM Rod Bolts'!$AG9</f>
        <v>-8.4375000000025402E-5</v>
      </c>
      <c r="AD16" s="58">
        <f>AD9-'OEM Rod Bolts'!$AG9</f>
        <v>-1.5937499999940652E-4</v>
      </c>
      <c r="AE16" s="58">
        <f>AE9-'OEM Rod Bolts'!$AG9</f>
        <v>-2.5937500000006164E-4</v>
      </c>
      <c r="AF16" s="58">
        <f>AF9-'OEM Rod Bolts'!$AG9</f>
        <v>-2.5937500000006164E-4</v>
      </c>
      <c r="AG16" s="9" t="s">
        <v>367</v>
      </c>
      <c r="AH16" s="58">
        <v>-2.8437500000000338E-4</v>
      </c>
      <c r="AI16" s="58">
        <v>-1.3437499999990887E-4</v>
      </c>
      <c r="AJ16" s="58">
        <v>-5.9375000000083666E-5</v>
      </c>
      <c r="AK16" s="58">
        <v>-2.8437499999955929E-4</v>
      </c>
      <c r="AL16" s="58">
        <v>-8.4375000000025402E-5</v>
      </c>
      <c r="AM16" s="58">
        <v>-1.5937499999940652E-4</v>
      </c>
      <c r="AN16" s="58">
        <v>-2.5937500000006164E-4</v>
      </c>
      <c r="AO16" s="58">
        <v>-2.5937500000006164E-4</v>
      </c>
      <c r="AP16" s="58">
        <f t="shared" si="13"/>
        <v>0</v>
      </c>
      <c r="AQ16" s="58">
        <f t="shared" si="12"/>
        <v>0</v>
      </c>
      <c r="AR16" s="58">
        <f t="shared" si="12"/>
        <v>0</v>
      </c>
      <c r="AS16" s="58">
        <f t="shared" si="12"/>
        <v>0</v>
      </c>
      <c r="AT16" s="58">
        <f t="shared" si="12"/>
        <v>0</v>
      </c>
      <c r="AU16" s="58">
        <f t="shared" si="12"/>
        <v>0</v>
      </c>
      <c r="AV16" s="58">
        <f t="shared" si="12"/>
        <v>0</v>
      </c>
      <c r="AW16" s="58">
        <f t="shared" si="12"/>
        <v>0</v>
      </c>
    </row>
    <row r="17" spans="1:49">
      <c r="C17" s="83"/>
      <c r="D17" s="83"/>
      <c r="E17" s="83"/>
      <c r="F17" s="83"/>
      <c r="G17" s="83"/>
      <c r="H17" s="83"/>
      <c r="I17" s="83"/>
      <c r="J17" s="83"/>
      <c r="K17" s="58"/>
      <c r="L17" s="58"/>
      <c r="M17" s="58"/>
      <c r="N17" s="58"/>
      <c r="O17" s="58"/>
      <c r="P17" s="9" t="s">
        <v>367</v>
      </c>
      <c r="Q17" s="84">
        <v>175</v>
      </c>
      <c r="R17" s="84">
        <v>175</v>
      </c>
      <c r="S17" s="84">
        <v>175</v>
      </c>
      <c r="T17" s="84">
        <v>175</v>
      </c>
      <c r="U17" s="84">
        <v>175</v>
      </c>
      <c r="V17" s="84">
        <v>175</v>
      </c>
      <c r="W17" s="84">
        <v>175</v>
      </c>
      <c r="X17" s="84">
        <v>175</v>
      </c>
      <c r="Y17" s="58">
        <f>Y10-'OEM Rod Bolts'!$AG10</f>
        <v>0</v>
      </c>
      <c r="Z17" s="58">
        <f>Z10-'OEM Rod Bolts'!$AG10</f>
        <v>0</v>
      </c>
      <c r="AA17" s="58">
        <f>AA10-'OEM Rod Bolts'!$AG10</f>
        <v>0</v>
      </c>
      <c r="AB17" s="58">
        <f>AB10-'OEM Rod Bolts'!$AG10</f>
        <v>0</v>
      </c>
      <c r="AC17" s="58">
        <f>AC10-'OEM Rod Bolts'!$AG10</f>
        <v>0</v>
      </c>
      <c r="AD17" s="58">
        <f>AD10-'OEM Rod Bolts'!$AG10</f>
        <v>0</v>
      </c>
      <c r="AE17" s="58">
        <f>AE10-'OEM Rod Bolts'!$AG10</f>
        <v>0</v>
      </c>
      <c r="AF17" s="58">
        <f>AF10-'OEM Rod Bolts'!$AG10</f>
        <v>0</v>
      </c>
      <c r="AG17" s="9" t="s">
        <v>367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f t="shared" si="13"/>
        <v>0</v>
      </c>
      <c r="AQ17" s="58">
        <f t="shared" si="12"/>
        <v>0</v>
      </c>
      <c r="AR17" s="58">
        <f t="shared" si="12"/>
        <v>0</v>
      </c>
      <c r="AS17" s="58">
        <f t="shared" si="12"/>
        <v>0</v>
      </c>
      <c r="AT17" s="58">
        <f t="shared" si="12"/>
        <v>0</v>
      </c>
      <c r="AU17" s="58">
        <f t="shared" si="12"/>
        <v>0</v>
      </c>
      <c r="AV17" s="58">
        <f t="shared" si="12"/>
        <v>0</v>
      </c>
      <c r="AW17" s="58">
        <f t="shared" si="12"/>
        <v>0</v>
      </c>
    </row>
    <row r="18" spans="1:49">
      <c r="A18" s="9" t="s">
        <v>402</v>
      </c>
      <c r="C18" s="83"/>
      <c r="D18" s="83"/>
      <c r="E18" s="83"/>
      <c r="F18" s="83"/>
      <c r="G18" s="83"/>
      <c r="H18" s="83"/>
      <c r="I18" s="83"/>
      <c r="J18" s="8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49">
      <c r="A19" s="58"/>
      <c r="B19" s="9" t="s">
        <v>241</v>
      </c>
      <c r="C19" s="58">
        <v>71.099999999999994</v>
      </c>
      <c r="D19" s="58">
        <v>71.400000000000006</v>
      </c>
      <c r="E19" s="58">
        <v>72</v>
      </c>
      <c r="F19" s="58">
        <v>71.099999999999994</v>
      </c>
      <c r="G19" s="58">
        <v>71.099999999999994</v>
      </c>
      <c r="H19" s="58">
        <v>71</v>
      </c>
      <c r="I19" s="58">
        <v>71.599999999999994</v>
      </c>
      <c r="J19" s="58">
        <v>71.099999999999994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Y19" s="101" t="s">
        <v>270</v>
      </c>
      <c r="Z19" s="101"/>
      <c r="AA19" s="101"/>
      <c r="AB19" s="101"/>
      <c r="AC19" s="101"/>
      <c r="AD19" s="101"/>
      <c r="AE19" s="101"/>
      <c r="AF19" s="101"/>
    </row>
    <row r="20" spans="1:49">
      <c r="A20" s="58"/>
      <c r="B20" s="9" t="s">
        <v>364</v>
      </c>
      <c r="C20" s="83" t="s">
        <v>175</v>
      </c>
      <c r="D20" s="83" t="s">
        <v>176</v>
      </c>
      <c r="E20" s="83" t="s">
        <v>177</v>
      </c>
      <c r="F20" s="83" t="s">
        <v>178</v>
      </c>
      <c r="G20" s="83" t="s">
        <v>179</v>
      </c>
      <c r="H20" s="83" t="s">
        <v>180</v>
      </c>
      <c r="I20" s="83" t="s">
        <v>181</v>
      </c>
      <c r="J20" s="83" t="s">
        <v>182</v>
      </c>
      <c r="K20" s="53" t="s">
        <v>195</v>
      </c>
      <c r="L20" s="53" t="s">
        <v>183</v>
      </c>
      <c r="M20" s="53" t="s">
        <v>184</v>
      </c>
      <c r="N20" s="53" t="s">
        <v>185</v>
      </c>
      <c r="O20" s="53" t="s">
        <v>186</v>
      </c>
      <c r="P20" s="53"/>
      <c r="Q20" s="53"/>
      <c r="R20" s="53"/>
      <c r="S20" s="53"/>
      <c r="T20" s="53"/>
      <c r="U20" s="53"/>
      <c r="Y20" s="88" t="s">
        <v>175</v>
      </c>
      <c r="Z20" s="88" t="s">
        <v>176</v>
      </c>
      <c r="AA20" s="88" t="s">
        <v>177</v>
      </c>
      <c r="AB20" s="88" t="s">
        <v>178</v>
      </c>
      <c r="AC20" s="88" t="s">
        <v>179</v>
      </c>
      <c r="AD20" s="88" t="s">
        <v>180</v>
      </c>
      <c r="AE20" s="88" t="s">
        <v>181</v>
      </c>
      <c r="AF20" s="88" t="s">
        <v>182</v>
      </c>
    </row>
    <row r="21" spans="1:49">
      <c r="A21" s="84"/>
      <c r="B21" s="84">
        <v>5</v>
      </c>
      <c r="C21" s="58">
        <v>2.2050999999999998</v>
      </c>
      <c r="D21" s="58">
        <v>2.2050999999999998</v>
      </c>
      <c r="E21" s="58">
        <v>2.2050000000000001</v>
      </c>
      <c r="F21" s="58">
        <v>2.2051500000000002</v>
      </c>
      <c r="G21" s="58">
        <v>2.2050999999999998</v>
      </c>
      <c r="H21" s="58">
        <v>2.2052999999999998</v>
      </c>
      <c r="I21" s="58">
        <v>2.2051500000000002</v>
      </c>
      <c r="J21" s="58">
        <v>2.2050000000000001</v>
      </c>
      <c r="K21" s="58">
        <f t="shared" ref="K21:K27" si="14">MIN(C21:J21)</f>
        <v>2.2050000000000001</v>
      </c>
      <c r="L21" s="58">
        <f t="shared" ref="L21:L27" si="15">MAX(C21:J21)</f>
        <v>2.2052999999999998</v>
      </c>
      <c r="M21" s="58">
        <f t="shared" ref="M21:M27" si="16">MODE(C21:J21)</f>
        <v>2.2050999999999998</v>
      </c>
      <c r="N21" s="58">
        <f t="shared" ref="N21:N27" si="17">K21-M21</f>
        <v>-9.9999999999766942E-5</v>
      </c>
      <c r="O21" s="58">
        <f t="shared" ref="O21:O27" si="18">L21-M21</f>
        <v>1.9999999999997797E-4</v>
      </c>
      <c r="P21" s="58"/>
      <c r="Q21" s="84">
        <v>5</v>
      </c>
      <c r="R21" s="84">
        <v>5</v>
      </c>
      <c r="S21" s="84">
        <v>5</v>
      </c>
      <c r="T21" s="84">
        <v>5</v>
      </c>
      <c r="U21" s="84">
        <v>5</v>
      </c>
      <c r="V21" s="84">
        <v>5</v>
      </c>
      <c r="W21" s="84">
        <v>5</v>
      </c>
      <c r="X21" s="84">
        <v>5</v>
      </c>
      <c r="Y21" s="58">
        <f>AVERAGE(C21,C27)-AVERAGE(C$21,C$27)</f>
        <v>0</v>
      </c>
      <c r="Z21" s="58">
        <f t="shared" ref="Z21:AF21" si="19">AVERAGE(D21,D27)-AVERAGE(D$21,D$27)</f>
        <v>0</v>
      </c>
      <c r="AA21" s="58">
        <f t="shared" si="19"/>
        <v>0</v>
      </c>
      <c r="AB21" s="58">
        <f t="shared" si="19"/>
        <v>0</v>
      </c>
      <c r="AC21" s="58">
        <f t="shared" si="19"/>
        <v>0</v>
      </c>
      <c r="AD21" s="58">
        <f t="shared" si="19"/>
        <v>0</v>
      </c>
      <c r="AE21" s="58">
        <f t="shared" si="19"/>
        <v>0</v>
      </c>
      <c r="AF21" s="58">
        <f t="shared" si="19"/>
        <v>0</v>
      </c>
    </row>
    <row r="22" spans="1:49">
      <c r="A22" s="84"/>
      <c r="B22" s="84">
        <v>19.75</v>
      </c>
      <c r="C22" s="58">
        <v>2.2050000000000001</v>
      </c>
      <c r="D22" s="58">
        <v>2.2050000000000001</v>
      </c>
      <c r="E22" s="58">
        <v>2.2048999999999999</v>
      </c>
      <c r="F22" s="58">
        <v>2.2050000000000001</v>
      </c>
      <c r="G22" s="58">
        <v>2.2050000000000001</v>
      </c>
      <c r="H22" s="58">
        <v>2.2050999999999998</v>
      </c>
      <c r="I22" s="58">
        <v>2.2050000000000001</v>
      </c>
      <c r="J22" s="58">
        <v>2.2048000000000001</v>
      </c>
      <c r="K22" s="58">
        <f t="shared" si="14"/>
        <v>2.2048000000000001</v>
      </c>
      <c r="L22" s="58">
        <f t="shared" si="15"/>
        <v>2.2050999999999998</v>
      </c>
      <c r="M22" s="58">
        <f t="shared" si="16"/>
        <v>2.2050000000000001</v>
      </c>
      <c r="N22" s="58">
        <f t="shared" si="17"/>
        <v>-1.9999999999997797E-4</v>
      </c>
      <c r="O22" s="58">
        <f t="shared" si="18"/>
        <v>9.9999999999766942E-5</v>
      </c>
      <c r="P22" s="58"/>
      <c r="Q22" s="84">
        <v>19.75</v>
      </c>
      <c r="R22" s="84">
        <v>19.75</v>
      </c>
      <c r="S22" s="84">
        <v>19.75</v>
      </c>
      <c r="T22" s="84">
        <v>19.75</v>
      </c>
      <c r="U22" s="84">
        <v>19.75</v>
      </c>
      <c r="V22" s="84">
        <v>19.75</v>
      </c>
      <c r="W22" s="84">
        <v>19.75</v>
      </c>
      <c r="X22" s="84">
        <v>19.75</v>
      </c>
      <c r="Y22" s="58">
        <f>AVERAGE(C22,C26)-AVERAGE(C$21,C$27)</f>
        <v>-1.7499999999959215E-4</v>
      </c>
      <c r="Z22" s="58">
        <f t="shared" ref="Z22:AF22" si="20">AVERAGE(D22,D26)-AVERAGE(D$21,D$27)</f>
        <v>-1.2499999999970868E-4</v>
      </c>
      <c r="AA22" s="58">
        <f t="shared" si="20"/>
        <v>-1.0000000000021103E-4</v>
      </c>
      <c r="AB22" s="58">
        <f t="shared" si="20"/>
        <v>-1.500000000000945E-4</v>
      </c>
      <c r="AC22" s="58">
        <f t="shared" si="20"/>
        <v>-1.2499999999970868E-4</v>
      </c>
      <c r="AD22" s="58">
        <f t="shared" si="20"/>
        <v>-1.9999999999953388E-4</v>
      </c>
      <c r="AE22" s="58">
        <f t="shared" si="20"/>
        <v>-1.2499999999970868E-4</v>
      </c>
      <c r="AF22" s="58">
        <f t="shared" si="20"/>
        <v>-2.2499999999991971E-4</v>
      </c>
    </row>
    <row r="23" spans="1:49">
      <c r="A23" s="84"/>
      <c r="B23" s="84">
        <v>45</v>
      </c>
      <c r="C23" s="58">
        <v>2.2046000000000001</v>
      </c>
      <c r="D23" s="58">
        <v>2.2047500000000002</v>
      </c>
      <c r="E23" s="58">
        <v>2.20485</v>
      </c>
      <c r="F23" s="58">
        <v>2.2046000000000001</v>
      </c>
      <c r="G23" s="58">
        <v>2.2046000000000001</v>
      </c>
      <c r="H23" s="58">
        <v>2.2047500000000002</v>
      </c>
      <c r="I23" s="58">
        <v>2.2047500000000002</v>
      </c>
      <c r="J23" s="58">
        <v>2.2046999999999999</v>
      </c>
      <c r="K23" s="58">
        <f t="shared" si="14"/>
        <v>2.2046000000000001</v>
      </c>
      <c r="L23" s="58">
        <f t="shared" si="15"/>
        <v>2.20485</v>
      </c>
      <c r="M23" s="58">
        <f t="shared" si="16"/>
        <v>2.2046000000000001</v>
      </c>
      <c r="N23" s="58">
        <f t="shared" si="17"/>
        <v>0</v>
      </c>
      <c r="O23" s="58">
        <f t="shared" si="18"/>
        <v>2.4999999999986144E-4</v>
      </c>
      <c r="P23" s="58"/>
      <c r="Q23" s="84">
        <v>45</v>
      </c>
      <c r="R23" s="84">
        <v>45</v>
      </c>
      <c r="S23" s="84">
        <v>45</v>
      </c>
      <c r="T23" s="84">
        <v>45</v>
      </c>
      <c r="U23" s="84">
        <v>45</v>
      </c>
      <c r="V23" s="84">
        <v>45</v>
      </c>
      <c r="W23" s="84">
        <v>45</v>
      </c>
      <c r="X23" s="84">
        <v>45</v>
      </c>
      <c r="Y23" s="58">
        <f>AVERAGE(C23,C25)-AVERAGE(C$21,C$27)</f>
        <v>-5.4999999999960636E-4</v>
      </c>
      <c r="Z23" s="58">
        <f t="shared" ref="Z23:AF23" si="21">AVERAGE(D23,D25)-AVERAGE(D$21,D$27)</f>
        <v>-4.7499999999978115E-4</v>
      </c>
      <c r="AA23" s="58">
        <f t="shared" si="21"/>
        <v>-1.9999999999997797E-4</v>
      </c>
      <c r="AB23" s="58">
        <f t="shared" si="21"/>
        <v>-5.2500000000010871E-4</v>
      </c>
      <c r="AC23" s="58">
        <f t="shared" si="21"/>
        <v>-4.4999999999983942E-4</v>
      </c>
      <c r="AD23" s="58">
        <f t="shared" si="21"/>
        <v>-3.9999999999951186E-4</v>
      </c>
      <c r="AE23" s="58">
        <f t="shared" si="21"/>
        <v>-4.4999999999983942E-4</v>
      </c>
      <c r="AF23" s="58">
        <f t="shared" si="21"/>
        <v>-3.5000000000007248E-4</v>
      </c>
    </row>
    <row r="24" spans="1:49">
      <c r="A24" s="84"/>
      <c r="B24" s="84">
        <v>90</v>
      </c>
      <c r="C24" s="58">
        <v>2.2044000000000001</v>
      </c>
      <c r="D24" s="58">
        <v>2.2044000000000001</v>
      </c>
      <c r="E24" s="58">
        <v>2.2046000000000001</v>
      </c>
      <c r="F24" s="58">
        <v>2.2044000000000001</v>
      </c>
      <c r="G24" s="58">
        <v>2.2046000000000001</v>
      </c>
      <c r="H24" s="58">
        <v>2.2044000000000001</v>
      </c>
      <c r="I24" s="58">
        <v>2.2046000000000001</v>
      </c>
      <c r="J24" s="58">
        <v>2.2046000000000001</v>
      </c>
      <c r="K24" s="58">
        <f t="shared" si="14"/>
        <v>2.2044000000000001</v>
      </c>
      <c r="L24" s="58">
        <f t="shared" si="15"/>
        <v>2.2046000000000001</v>
      </c>
      <c r="M24" s="58">
        <f t="shared" si="16"/>
        <v>2.2044000000000001</v>
      </c>
      <c r="N24" s="58">
        <f t="shared" si="17"/>
        <v>0</v>
      </c>
      <c r="O24" s="58">
        <f t="shared" si="18"/>
        <v>1.9999999999997797E-4</v>
      </c>
      <c r="P24" s="58"/>
      <c r="Q24" s="84">
        <v>90</v>
      </c>
      <c r="R24" s="84">
        <v>90</v>
      </c>
      <c r="S24" s="84">
        <v>90</v>
      </c>
      <c r="T24" s="84">
        <v>90</v>
      </c>
      <c r="U24" s="84">
        <v>90</v>
      </c>
      <c r="V24" s="84">
        <v>90</v>
      </c>
      <c r="W24" s="84">
        <v>90</v>
      </c>
      <c r="X24" s="84">
        <v>90</v>
      </c>
      <c r="Y24" s="58">
        <f>C24-AVERAGE(C$21,C$27)</f>
        <v>-6.4999999999981739E-4</v>
      </c>
      <c r="Z24" s="58">
        <f t="shared" ref="Z24:AF24" si="22">D24-AVERAGE(D$21,D$27)</f>
        <v>-6.4999999999981739E-4</v>
      </c>
      <c r="AA24" s="58">
        <f t="shared" si="22"/>
        <v>-3.9999999999995595E-4</v>
      </c>
      <c r="AB24" s="58">
        <f t="shared" si="22"/>
        <v>-7.5000000000002842E-4</v>
      </c>
      <c r="AC24" s="58">
        <f t="shared" si="22"/>
        <v>-4.4999999999983942E-4</v>
      </c>
      <c r="AD24" s="58">
        <f t="shared" si="22"/>
        <v>-7.999999999994678E-4</v>
      </c>
      <c r="AE24" s="58">
        <f t="shared" si="22"/>
        <v>-5.2499999999966462E-4</v>
      </c>
      <c r="AF24" s="58">
        <f t="shared" si="22"/>
        <v>-3.9999999999995595E-4</v>
      </c>
    </row>
    <row r="25" spans="1:49">
      <c r="A25" s="84"/>
      <c r="B25" s="84">
        <v>135</v>
      </c>
      <c r="C25" s="58">
        <v>2.2044000000000001</v>
      </c>
      <c r="D25" s="58">
        <v>2.2044000000000001</v>
      </c>
      <c r="E25" s="58">
        <v>2.2047500000000002</v>
      </c>
      <c r="F25" s="58">
        <v>2.20465</v>
      </c>
      <c r="G25" s="58">
        <v>2.2046000000000001</v>
      </c>
      <c r="H25" s="58">
        <v>2.20485</v>
      </c>
      <c r="I25" s="58">
        <v>2.2046000000000001</v>
      </c>
      <c r="J25" s="58">
        <v>2.2046000000000001</v>
      </c>
      <c r="K25" s="58">
        <f t="shared" si="14"/>
        <v>2.2044000000000001</v>
      </c>
      <c r="L25" s="58">
        <f t="shared" si="15"/>
        <v>2.20485</v>
      </c>
      <c r="M25" s="58">
        <f t="shared" si="16"/>
        <v>2.2046000000000001</v>
      </c>
      <c r="N25" s="58">
        <f t="shared" si="17"/>
        <v>-1.9999999999997797E-4</v>
      </c>
      <c r="O25" s="58">
        <f t="shared" si="18"/>
        <v>2.4999999999986144E-4</v>
      </c>
      <c r="P25" s="58"/>
      <c r="Q25" s="84">
        <v>135</v>
      </c>
      <c r="R25" s="84">
        <v>135</v>
      </c>
      <c r="S25" s="84">
        <v>135</v>
      </c>
      <c r="T25" s="84">
        <v>135</v>
      </c>
      <c r="U25" s="84">
        <v>135</v>
      </c>
      <c r="V25" s="84">
        <v>135</v>
      </c>
      <c r="W25" s="84">
        <v>135</v>
      </c>
      <c r="X25" s="84">
        <v>135</v>
      </c>
      <c r="Y25" s="58">
        <f>AVERAGE(C23,C25)-AVERAGE(C$21,C$27)</f>
        <v>-5.4999999999960636E-4</v>
      </c>
      <c r="Z25" s="58">
        <f t="shared" ref="Z25:AF25" si="23">AVERAGE(D23,D25)-AVERAGE(D$21,D$27)</f>
        <v>-4.7499999999978115E-4</v>
      </c>
      <c r="AA25" s="58">
        <f t="shared" si="23"/>
        <v>-1.9999999999997797E-4</v>
      </c>
      <c r="AB25" s="58">
        <f t="shared" si="23"/>
        <v>-5.2500000000010871E-4</v>
      </c>
      <c r="AC25" s="58">
        <f t="shared" si="23"/>
        <v>-4.4999999999983942E-4</v>
      </c>
      <c r="AD25" s="58">
        <f t="shared" si="23"/>
        <v>-3.9999999999951186E-4</v>
      </c>
      <c r="AE25" s="58">
        <f t="shared" si="23"/>
        <v>-4.4999999999983942E-4</v>
      </c>
      <c r="AF25" s="58">
        <f t="shared" si="23"/>
        <v>-3.5000000000007248E-4</v>
      </c>
    </row>
    <row r="26" spans="1:49">
      <c r="A26" s="84"/>
      <c r="B26" s="84">
        <v>160.25</v>
      </c>
      <c r="C26" s="58">
        <v>2.2047500000000002</v>
      </c>
      <c r="D26" s="58">
        <v>2.20485</v>
      </c>
      <c r="E26" s="58">
        <v>2.2048999999999999</v>
      </c>
      <c r="F26" s="58">
        <v>2.2050000000000001</v>
      </c>
      <c r="G26" s="58">
        <v>2.20485</v>
      </c>
      <c r="H26" s="58">
        <v>2.2048999999999999</v>
      </c>
      <c r="I26" s="58">
        <v>2.2050000000000001</v>
      </c>
      <c r="J26" s="58">
        <v>2.2047500000000002</v>
      </c>
      <c r="K26" s="58">
        <f t="shared" si="14"/>
        <v>2.2047500000000002</v>
      </c>
      <c r="L26" s="58">
        <f t="shared" si="15"/>
        <v>2.2050000000000001</v>
      </c>
      <c r="M26" s="58">
        <f t="shared" si="16"/>
        <v>2.2047500000000002</v>
      </c>
      <c r="N26" s="58">
        <f t="shared" si="17"/>
        <v>0</v>
      </c>
      <c r="O26" s="58">
        <f t="shared" si="18"/>
        <v>2.4999999999986144E-4</v>
      </c>
      <c r="P26" s="58"/>
      <c r="Q26" s="84">
        <v>160.25</v>
      </c>
      <c r="R26" s="84">
        <v>160.25</v>
      </c>
      <c r="S26" s="84">
        <v>160.25</v>
      </c>
      <c r="T26" s="84">
        <v>160.25</v>
      </c>
      <c r="U26" s="84">
        <v>160.25</v>
      </c>
      <c r="V26" s="84">
        <v>160.25</v>
      </c>
      <c r="W26" s="84">
        <v>160.25</v>
      </c>
      <c r="X26" s="84">
        <v>160.25</v>
      </c>
      <c r="Y26" s="58">
        <f>AVERAGE(C22,C26)-AVERAGE(C$21,C$27)</f>
        <v>-1.7499999999959215E-4</v>
      </c>
      <c r="Z26" s="58">
        <f t="shared" ref="Z26:AF26" si="24">AVERAGE(D22,D26)-AVERAGE(D$21,D$27)</f>
        <v>-1.2499999999970868E-4</v>
      </c>
      <c r="AA26" s="58">
        <f t="shared" si="24"/>
        <v>-1.0000000000021103E-4</v>
      </c>
      <c r="AB26" s="58">
        <f t="shared" si="24"/>
        <v>-1.500000000000945E-4</v>
      </c>
      <c r="AC26" s="58">
        <f t="shared" si="24"/>
        <v>-1.2499999999970868E-4</v>
      </c>
      <c r="AD26" s="58">
        <f t="shared" si="24"/>
        <v>-1.9999999999953388E-4</v>
      </c>
      <c r="AE26" s="58">
        <f t="shared" si="24"/>
        <v>-1.2499999999970868E-4</v>
      </c>
      <c r="AF26" s="58">
        <f t="shared" si="24"/>
        <v>-2.2499999999991971E-4</v>
      </c>
    </row>
    <row r="27" spans="1:49">
      <c r="A27" s="84"/>
      <c r="B27" s="84">
        <v>175</v>
      </c>
      <c r="C27" s="58">
        <v>2.2050000000000001</v>
      </c>
      <c r="D27" s="58">
        <v>2.2050000000000001</v>
      </c>
      <c r="E27" s="58">
        <v>2.2050000000000001</v>
      </c>
      <c r="F27" s="58">
        <v>2.2051500000000002</v>
      </c>
      <c r="G27" s="58">
        <v>2.2050000000000001</v>
      </c>
      <c r="H27" s="58">
        <v>2.2050999999999998</v>
      </c>
      <c r="I27" s="58">
        <v>2.2050999999999998</v>
      </c>
      <c r="J27" s="58">
        <v>2.2050000000000001</v>
      </c>
      <c r="K27" s="58">
        <f t="shared" si="14"/>
        <v>2.2050000000000001</v>
      </c>
      <c r="L27" s="58">
        <f t="shared" si="15"/>
        <v>2.2051500000000002</v>
      </c>
      <c r="M27" s="58">
        <f t="shared" si="16"/>
        <v>2.2050000000000001</v>
      </c>
      <c r="N27" s="58">
        <f t="shared" si="17"/>
        <v>0</v>
      </c>
      <c r="O27" s="58">
        <f t="shared" si="18"/>
        <v>1.500000000000945E-4</v>
      </c>
      <c r="P27" s="58"/>
      <c r="Q27" s="84">
        <v>175</v>
      </c>
      <c r="R27" s="84">
        <v>175</v>
      </c>
      <c r="S27" s="84">
        <v>175</v>
      </c>
      <c r="T27" s="84">
        <v>175</v>
      </c>
      <c r="U27" s="84">
        <v>175</v>
      </c>
      <c r="V27" s="84">
        <v>175</v>
      </c>
      <c r="W27" s="84">
        <v>175</v>
      </c>
      <c r="X27" s="84">
        <v>175</v>
      </c>
      <c r="Y27" s="58">
        <f>AVERAGE(C21,C27)-AVERAGE(C$21,C$27)</f>
        <v>0</v>
      </c>
      <c r="Z27" s="58">
        <f t="shared" ref="Z27:AF27" si="25">AVERAGE(D21,D27)-AVERAGE(D$21,D$27)</f>
        <v>0</v>
      </c>
      <c r="AA27" s="58">
        <f t="shared" si="25"/>
        <v>0</v>
      </c>
      <c r="AB27" s="58">
        <f t="shared" si="25"/>
        <v>0</v>
      </c>
      <c r="AC27" s="58">
        <f t="shared" si="25"/>
        <v>0</v>
      </c>
      <c r="AD27" s="58">
        <f t="shared" si="25"/>
        <v>0</v>
      </c>
      <c r="AE27" s="58">
        <f t="shared" si="25"/>
        <v>0</v>
      </c>
      <c r="AF27" s="58">
        <f t="shared" si="25"/>
        <v>0</v>
      </c>
    </row>
    <row r="28" spans="1:49">
      <c r="P28" s="9" t="s">
        <v>367</v>
      </c>
      <c r="Q28" s="84">
        <v>5</v>
      </c>
      <c r="R28" s="84">
        <v>5</v>
      </c>
      <c r="S28" s="84">
        <v>5</v>
      </c>
      <c r="T28" s="84">
        <v>5</v>
      </c>
      <c r="U28" s="84">
        <v>5</v>
      </c>
      <c r="V28" s="84">
        <v>5</v>
      </c>
      <c r="W28" s="84">
        <v>5</v>
      </c>
      <c r="X28" s="84">
        <v>5</v>
      </c>
      <c r="Y28" s="58">
        <f>Y21-'Connecting Rod Bolts'!$AG34</f>
        <v>0</v>
      </c>
      <c r="Z28" s="58">
        <f>Z21-'Connecting Rod Bolts'!$AG34</f>
        <v>0</v>
      </c>
      <c r="AA28" s="58">
        <f>AA21-'Connecting Rod Bolts'!$AG34</f>
        <v>0</v>
      </c>
      <c r="AB28" s="58">
        <f>AB21-'Connecting Rod Bolts'!$AG34</f>
        <v>0</v>
      </c>
      <c r="AC28" s="58">
        <f>AC21-'Connecting Rod Bolts'!$AG34</f>
        <v>0</v>
      </c>
      <c r="AD28" s="58">
        <f>AD21-'Connecting Rod Bolts'!$AG34</f>
        <v>0</v>
      </c>
      <c r="AE28" s="58">
        <f>AE21-'Connecting Rod Bolts'!$AG34</f>
        <v>0</v>
      </c>
      <c r="AF28" s="58">
        <f>AF21-'Connecting Rod Bolts'!$AG34</f>
        <v>0</v>
      </c>
      <c r="AG28" s="9" t="s">
        <v>367</v>
      </c>
    </row>
    <row r="29" spans="1:49">
      <c r="P29" s="9" t="s">
        <v>367</v>
      </c>
      <c r="Q29" s="84">
        <v>19.75</v>
      </c>
      <c r="R29" s="84">
        <v>19.75</v>
      </c>
      <c r="S29" s="84">
        <v>19.75</v>
      </c>
      <c r="T29" s="84">
        <v>19.75</v>
      </c>
      <c r="U29" s="84">
        <v>19.75</v>
      </c>
      <c r="V29" s="84">
        <v>19.75</v>
      </c>
      <c r="W29" s="84">
        <v>19.75</v>
      </c>
      <c r="X29" s="84">
        <v>19.75</v>
      </c>
      <c r="Y29" s="58">
        <f>Y22-'Connecting Rod Bolts'!$AG35</f>
        <v>-1.3437499999946478E-4</v>
      </c>
      <c r="Z29" s="58">
        <f>Z22-'Connecting Rod Bolts'!$AG35</f>
        <v>-8.4374999999581313E-5</v>
      </c>
      <c r="AA29" s="58">
        <f>AA22-'Connecting Rod Bolts'!$AG35</f>
        <v>-5.9375000000083666E-5</v>
      </c>
      <c r="AB29" s="58">
        <f>AB22-'Connecting Rod Bolts'!$AG35</f>
        <v>-1.0937499999996714E-4</v>
      </c>
      <c r="AC29" s="58">
        <f>AC22-'Connecting Rod Bolts'!$AG35</f>
        <v>-8.4374999999581313E-5</v>
      </c>
      <c r="AD29" s="58">
        <f>AD22-'Connecting Rod Bolts'!$AG35</f>
        <v>-1.5937499999940652E-4</v>
      </c>
      <c r="AE29" s="58">
        <f>AE22-'Connecting Rod Bolts'!$AG35</f>
        <v>-8.4374999999581313E-5</v>
      </c>
      <c r="AF29" s="58">
        <f>AF22-'Connecting Rod Bolts'!$AG35</f>
        <v>-1.8437499999979234E-4</v>
      </c>
      <c r="AG29" s="9" t="s">
        <v>367</v>
      </c>
    </row>
    <row r="30" spans="1:49">
      <c r="P30" s="9" t="s">
        <v>367</v>
      </c>
      <c r="Q30" s="84">
        <v>45</v>
      </c>
      <c r="R30" s="84">
        <v>45</v>
      </c>
      <c r="S30" s="84">
        <v>45</v>
      </c>
      <c r="T30" s="84">
        <v>45</v>
      </c>
      <c r="U30" s="84">
        <v>45</v>
      </c>
      <c r="V30" s="84">
        <v>45</v>
      </c>
      <c r="W30" s="84">
        <v>45</v>
      </c>
      <c r="X30" s="84">
        <v>45</v>
      </c>
      <c r="Y30" s="58">
        <f>Y23-'Connecting Rod Bolts'!$AG36</f>
        <v>-3.9687499999963016E-4</v>
      </c>
      <c r="Z30" s="58">
        <f>Z23-'Connecting Rod Bolts'!$AG36</f>
        <v>-3.2187499999980496E-4</v>
      </c>
      <c r="AA30" s="58">
        <f>AA23-'Connecting Rod Bolts'!$AG36</f>
        <v>-4.6875000000001776E-5</v>
      </c>
      <c r="AB30" s="58">
        <f>AB23-'Connecting Rod Bolts'!$AG36</f>
        <v>-3.7187500000013252E-4</v>
      </c>
      <c r="AC30" s="58">
        <f>AC23-'Connecting Rod Bolts'!$AG36</f>
        <v>-2.9687499999986322E-4</v>
      </c>
      <c r="AD30" s="58">
        <f>AD23-'Connecting Rod Bolts'!$AG36</f>
        <v>-2.4687499999953566E-4</v>
      </c>
      <c r="AE30" s="58">
        <f>AE23-'Connecting Rod Bolts'!$AG36</f>
        <v>-2.9687499999986322E-4</v>
      </c>
      <c r="AF30" s="58">
        <f>AF23-'Connecting Rod Bolts'!$AG36</f>
        <v>-1.9687500000009628E-4</v>
      </c>
      <c r="AG30" s="9" t="s">
        <v>367</v>
      </c>
    </row>
    <row r="31" spans="1:49">
      <c r="P31" s="9" t="s">
        <v>367</v>
      </c>
      <c r="Q31" s="84">
        <v>90</v>
      </c>
      <c r="R31" s="84">
        <v>90</v>
      </c>
      <c r="S31" s="84">
        <v>90</v>
      </c>
      <c r="T31" s="84">
        <v>90</v>
      </c>
      <c r="U31" s="84">
        <v>90</v>
      </c>
      <c r="V31" s="84">
        <v>90</v>
      </c>
      <c r="W31" s="84">
        <v>90</v>
      </c>
      <c r="X31" s="84">
        <v>90</v>
      </c>
      <c r="Y31" s="58">
        <f>Y24-'Connecting Rod Bolts'!$AG37</f>
        <v>-4.2499999999984217E-4</v>
      </c>
      <c r="Z31" s="58">
        <f>Z24-'Connecting Rod Bolts'!$AG37</f>
        <v>-4.2499999999984217E-4</v>
      </c>
      <c r="AA31" s="58">
        <f>AA24-'Connecting Rod Bolts'!$AG37</f>
        <v>-1.7499999999998073E-4</v>
      </c>
      <c r="AB31" s="58">
        <f>AB24-'Connecting Rod Bolts'!$AG37</f>
        <v>-5.250000000000532E-4</v>
      </c>
      <c r="AC31" s="58">
        <f>AC24-'Connecting Rod Bolts'!$AG37</f>
        <v>-2.249999999998642E-4</v>
      </c>
      <c r="AD31" s="58">
        <f>AD24-'Connecting Rod Bolts'!$AG37</f>
        <v>-5.7499999999949258E-4</v>
      </c>
      <c r="AE31" s="58">
        <f>AE24-'Connecting Rod Bolts'!$AG37</f>
        <v>-2.999999999996894E-4</v>
      </c>
      <c r="AF31" s="58">
        <f>AF24-'Connecting Rod Bolts'!$AG37</f>
        <v>-1.7499999999998073E-4</v>
      </c>
      <c r="AG31" s="9" t="s">
        <v>367</v>
      </c>
    </row>
    <row r="32" spans="1:49">
      <c r="P32" s="9" t="s">
        <v>367</v>
      </c>
      <c r="Q32" s="84">
        <v>135</v>
      </c>
      <c r="R32" s="84">
        <v>135</v>
      </c>
      <c r="S32" s="84">
        <v>135</v>
      </c>
      <c r="T32" s="84">
        <v>135</v>
      </c>
      <c r="U32" s="84">
        <v>135</v>
      </c>
      <c r="V32" s="84">
        <v>135</v>
      </c>
      <c r="W32" s="84">
        <v>135</v>
      </c>
      <c r="X32" s="84">
        <v>135</v>
      </c>
      <c r="Y32" s="58">
        <f>Y25-'Connecting Rod Bolts'!$AG38</f>
        <v>-3.9687499999963016E-4</v>
      </c>
      <c r="Z32" s="58">
        <f>Z25-'Connecting Rod Bolts'!$AG38</f>
        <v>-3.2187499999980496E-4</v>
      </c>
      <c r="AA32" s="58">
        <f>AA25-'Connecting Rod Bolts'!$AG38</f>
        <v>-4.6875000000001776E-5</v>
      </c>
      <c r="AB32" s="58">
        <f>AB25-'Connecting Rod Bolts'!$AG38</f>
        <v>-3.7187500000013252E-4</v>
      </c>
      <c r="AC32" s="58">
        <f>AC25-'Connecting Rod Bolts'!$AG38</f>
        <v>-2.9687499999986322E-4</v>
      </c>
      <c r="AD32" s="58">
        <f>AD25-'Connecting Rod Bolts'!$AG38</f>
        <v>-2.4687499999953566E-4</v>
      </c>
      <c r="AE32" s="58">
        <f>AE25-'Connecting Rod Bolts'!$AG38</f>
        <v>-2.9687499999986322E-4</v>
      </c>
      <c r="AF32" s="58">
        <f>AF25-'Connecting Rod Bolts'!$AG38</f>
        <v>-1.9687500000009628E-4</v>
      </c>
      <c r="AG32" s="9" t="s">
        <v>367</v>
      </c>
    </row>
    <row r="33" spans="1:33" s="9" customFormat="1">
      <c r="P33" s="9" t="s">
        <v>367</v>
      </c>
      <c r="Q33" s="84">
        <v>160.25</v>
      </c>
      <c r="R33" s="84">
        <v>160.25</v>
      </c>
      <c r="S33" s="84">
        <v>160.25</v>
      </c>
      <c r="T33" s="84">
        <v>160.25</v>
      </c>
      <c r="U33" s="84">
        <v>160.25</v>
      </c>
      <c r="V33" s="84">
        <v>160.25</v>
      </c>
      <c r="W33" s="84">
        <v>160.25</v>
      </c>
      <c r="X33" s="84">
        <v>160.25</v>
      </c>
      <c r="Y33" s="58">
        <f>Y26-'Connecting Rod Bolts'!$AG39</f>
        <v>-1.3437499999946478E-4</v>
      </c>
      <c r="Z33" s="58">
        <f>Z26-'Connecting Rod Bolts'!$AG39</f>
        <v>-8.4374999999581313E-5</v>
      </c>
      <c r="AA33" s="58">
        <f>AA26-'Connecting Rod Bolts'!$AG39</f>
        <v>-5.9375000000083666E-5</v>
      </c>
      <c r="AB33" s="58">
        <f>AB26-'Connecting Rod Bolts'!$AG39</f>
        <v>-1.0937499999996714E-4</v>
      </c>
      <c r="AC33" s="58">
        <f>AC26-'Connecting Rod Bolts'!$AG39</f>
        <v>-8.4374999999581313E-5</v>
      </c>
      <c r="AD33" s="58">
        <f>AD26-'Connecting Rod Bolts'!$AG39</f>
        <v>-1.5937499999940652E-4</v>
      </c>
      <c r="AE33" s="58">
        <f>AE26-'Connecting Rod Bolts'!$AG39</f>
        <v>-8.4374999999581313E-5</v>
      </c>
      <c r="AF33" s="58">
        <f>AF26-'Connecting Rod Bolts'!$AG39</f>
        <v>-1.8437499999979234E-4</v>
      </c>
      <c r="AG33" s="9" t="s">
        <v>367</v>
      </c>
    </row>
    <row r="34" spans="1:33" s="9" customFormat="1">
      <c r="A34" s="58"/>
      <c r="C34" s="83"/>
      <c r="D34" s="83"/>
      <c r="E34" s="83"/>
      <c r="F34" s="83"/>
      <c r="G34" s="83"/>
      <c r="H34" s="83"/>
      <c r="I34" s="83"/>
      <c r="J34" s="83"/>
      <c r="K34" s="58"/>
      <c r="L34" s="58"/>
      <c r="M34" s="58"/>
      <c r="N34" s="58"/>
      <c r="O34" s="58"/>
      <c r="P34" s="9" t="s">
        <v>367</v>
      </c>
      <c r="Q34" s="84">
        <v>175</v>
      </c>
      <c r="R34" s="84">
        <v>175</v>
      </c>
      <c r="S34" s="84">
        <v>175</v>
      </c>
      <c r="T34" s="84">
        <v>175</v>
      </c>
      <c r="U34" s="84">
        <v>175</v>
      </c>
      <c r="V34" s="84">
        <v>175</v>
      </c>
      <c r="W34" s="84">
        <v>175</v>
      </c>
      <c r="X34" s="84">
        <v>175</v>
      </c>
      <c r="Y34" s="58">
        <f>Y27-'Connecting Rod Bolts'!$AG40</f>
        <v>0</v>
      </c>
      <c r="Z34" s="58">
        <f>Z27-'Connecting Rod Bolts'!$AG40</f>
        <v>0</v>
      </c>
      <c r="AA34" s="58">
        <f>AA27-'Connecting Rod Bolts'!$AG40</f>
        <v>0</v>
      </c>
      <c r="AB34" s="58">
        <f>AB27-'Connecting Rod Bolts'!$AG40</f>
        <v>0</v>
      </c>
      <c r="AC34" s="58">
        <f>AC27-'Connecting Rod Bolts'!$AG40</f>
        <v>0</v>
      </c>
      <c r="AD34" s="58">
        <f>AD27-'Connecting Rod Bolts'!$AG40</f>
        <v>0</v>
      </c>
      <c r="AE34" s="58">
        <f>AE27-'Connecting Rod Bolts'!$AG40</f>
        <v>0</v>
      </c>
      <c r="AF34" s="58">
        <f>AF27-'Connecting Rod Bolts'!$AG40</f>
        <v>0</v>
      </c>
      <c r="AG34" s="9" t="s">
        <v>367</v>
      </c>
    </row>
    <row r="35" spans="1:33" s="9" customFormat="1">
      <c r="C35" s="83"/>
      <c r="D35" s="83"/>
      <c r="E35" s="83"/>
      <c r="F35" s="83"/>
      <c r="G35" s="83"/>
      <c r="H35" s="83"/>
      <c r="I35" s="83"/>
      <c r="J35" s="83"/>
      <c r="K35" s="58"/>
      <c r="L35" s="58"/>
      <c r="M35" s="58"/>
      <c r="N35" s="58"/>
      <c r="O35" s="58"/>
      <c r="Q35" s="84"/>
      <c r="R35" s="84"/>
      <c r="S35" s="84"/>
      <c r="T35" s="84"/>
      <c r="U35" s="84"/>
      <c r="V35" s="84"/>
      <c r="W35" s="84"/>
      <c r="X35" s="84"/>
      <c r="Y35" s="58"/>
      <c r="Z35" s="58"/>
      <c r="AA35" s="58"/>
      <c r="AB35" s="58"/>
      <c r="AC35" s="58"/>
      <c r="AD35" s="58"/>
      <c r="AE35" s="58"/>
      <c r="AF35" s="58"/>
    </row>
    <row r="37" spans="1:33" s="9" customFormat="1">
      <c r="A37" s="9" t="s">
        <v>403</v>
      </c>
      <c r="C37" s="83"/>
      <c r="D37" s="83"/>
      <c r="E37" s="83"/>
      <c r="F37" s="83"/>
      <c r="G37" s="83"/>
      <c r="H37" s="83"/>
      <c r="I37" s="83"/>
      <c r="J37" s="83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33" s="9" customFormat="1">
      <c r="A38" s="58"/>
      <c r="B38" s="9" t="s">
        <v>241</v>
      </c>
      <c r="C38" s="58">
        <v>70.7</v>
      </c>
      <c r="D38" s="58">
        <v>70.7</v>
      </c>
      <c r="E38" s="58">
        <v>70.900000000000006</v>
      </c>
      <c r="F38" s="58">
        <v>71.099999999999994</v>
      </c>
      <c r="G38" s="58">
        <v>70.599999999999994</v>
      </c>
      <c r="H38" s="58">
        <v>70.900000000000006</v>
      </c>
      <c r="I38" s="58">
        <v>70.7</v>
      </c>
      <c r="J38" s="58">
        <v>70.5</v>
      </c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Y38" s="101" t="s">
        <v>270</v>
      </c>
      <c r="Z38" s="101"/>
      <c r="AA38" s="101"/>
      <c r="AB38" s="101"/>
      <c r="AC38" s="101"/>
      <c r="AD38" s="101"/>
      <c r="AE38" s="101"/>
      <c r="AF38" s="101"/>
    </row>
    <row r="39" spans="1:33" s="9" customFormat="1">
      <c r="A39" s="58"/>
      <c r="B39" s="9" t="s">
        <v>364</v>
      </c>
      <c r="C39" s="83" t="s">
        <v>175</v>
      </c>
      <c r="D39" s="83" t="s">
        <v>176</v>
      </c>
      <c r="E39" s="83" t="s">
        <v>177</v>
      </c>
      <c r="F39" s="83" t="s">
        <v>178</v>
      </c>
      <c r="G39" s="83" t="s">
        <v>179</v>
      </c>
      <c r="H39" s="83" t="s">
        <v>180</v>
      </c>
      <c r="I39" s="83" t="s">
        <v>181</v>
      </c>
      <c r="J39" s="83" t="s">
        <v>182</v>
      </c>
      <c r="K39" s="53" t="s">
        <v>195</v>
      </c>
      <c r="L39" s="53" t="s">
        <v>183</v>
      </c>
      <c r="M39" s="53" t="s">
        <v>184</v>
      </c>
      <c r="N39" s="53" t="s">
        <v>185</v>
      </c>
      <c r="O39" s="53" t="s">
        <v>186</v>
      </c>
      <c r="P39" s="53"/>
      <c r="Q39" s="53"/>
      <c r="R39" s="53"/>
      <c r="S39" s="53"/>
      <c r="T39" s="53"/>
      <c r="U39" s="53"/>
      <c r="Y39" s="88" t="s">
        <v>175</v>
      </c>
      <c r="Z39" s="88" t="s">
        <v>176</v>
      </c>
      <c r="AA39" s="88" t="s">
        <v>177</v>
      </c>
      <c r="AB39" s="88" t="s">
        <v>178</v>
      </c>
      <c r="AC39" s="88" t="s">
        <v>179</v>
      </c>
      <c r="AD39" s="88" t="s">
        <v>180</v>
      </c>
      <c r="AE39" s="88" t="s">
        <v>181</v>
      </c>
      <c r="AF39" s="88" t="s">
        <v>182</v>
      </c>
    </row>
    <row r="40" spans="1:33" s="9" customFormat="1">
      <c r="A40" s="84"/>
      <c r="B40" s="84">
        <v>5</v>
      </c>
      <c r="C40" s="58">
        <v>2.2050999999999998</v>
      </c>
      <c r="D40" s="58">
        <v>2.2050999999999998</v>
      </c>
      <c r="E40" s="58">
        <v>2.2050000000000001</v>
      </c>
      <c r="F40" s="58">
        <v>2.2050999999999998</v>
      </c>
      <c r="G40" s="58">
        <v>2.2050000000000001</v>
      </c>
      <c r="H40" s="58">
        <v>2.2053500000000001</v>
      </c>
      <c r="I40" s="58">
        <v>2.2050000000000001</v>
      </c>
      <c r="J40" s="58">
        <v>2.2050000000000001</v>
      </c>
      <c r="K40" s="58">
        <f t="shared" ref="K40:K46" si="26">MIN(C40:J40)</f>
        <v>2.2050000000000001</v>
      </c>
      <c r="L40" s="58">
        <f t="shared" ref="L40:L46" si="27">MAX(C40:J40)</f>
        <v>2.2053500000000001</v>
      </c>
      <c r="M40" s="58">
        <f t="shared" ref="M40:M46" si="28">MODE(C40:J40)</f>
        <v>2.2050000000000001</v>
      </c>
      <c r="N40" s="58">
        <f t="shared" ref="N40:N46" si="29">K40-M40</f>
        <v>0</v>
      </c>
      <c r="O40" s="58">
        <f t="shared" ref="O40:O46" si="30">L40-M40</f>
        <v>3.5000000000007248E-4</v>
      </c>
      <c r="P40" s="58"/>
      <c r="Q40" s="84">
        <v>5</v>
      </c>
      <c r="R40" s="84">
        <v>5</v>
      </c>
      <c r="S40" s="84">
        <v>5</v>
      </c>
      <c r="T40" s="84">
        <v>5</v>
      </c>
      <c r="U40" s="84">
        <v>5</v>
      </c>
      <c r="V40" s="84">
        <v>5</v>
      </c>
      <c r="W40" s="84">
        <v>5</v>
      </c>
      <c r="X40" s="84">
        <v>5</v>
      </c>
      <c r="Y40" s="58">
        <f>AVERAGE(C40,C46)-AVERAGE(C$40,C$46)</f>
        <v>0</v>
      </c>
      <c r="Z40" s="58">
        <f t="shared" ref="Z40:AF40" si="31">AVERAGE(D40,D46)-AVERAGE(D$40,D$46)</f>
        <v>0</v>
      </c>
      <c r="AA40" s="58">
        <f t="shared" si="31"/>
        <v>0</v>
      </c>
      <c r="AB40" s="58">
        <f t="shared" si="31"/>
        <v>0</v>
      </c>
      <c r="AC40" s="58">
        <f t="shared" si="31"/>
        <v>0</v>
      </c>
      <c r="AD40" s="58">
        <f t="shared" si="31"/>
        <v>0</v>
      </c>
      <c r="AE40" s="58">
        <f t="shared" si="31"/>
        <v>0</v>
      </c>
      <c r="AF40" s="58">
        <f t="shared" si="31"/>
        <v>0</v>
      </c>
    </row>
    <row r="41" spans="1:33" s="9" customFormat="1">
      <c r="A41" s="84"/>
      <c r="B41" s="84">
        <v>19.75</v>
      </c>
      <c r="C41" s="58">
        <v>2.2050000000000001</v>
      </c>
      <c r="D41" s="58">
        <v>2.2050000000000001</v>
      </c>
      <c r="E41" s="58">
        <v>2.2050000000000001</v>
      </c>
      <c r="F41" s="58">
        <v>2.2050000000000001</v>
      </c>
      <c r="G41" s="58">
        <v>2.2049500000000002</v>
      </c>
      <c r="H41" s="58">
        <v>2.2052</v>
      </c>
      <c r="I41" s="58">
        <v>2.2050000000000001</v>
      </c>
      <c r="J41" s="58">
        <v>2.2048000000000001</v>
      </c>
      <c r="K41" s="58">
        <f t="shared" si="26"/>
        <v>2.2048000000000001</v>
      </c>
      <c r="L41" s="58">
        <f t="shared" si="27"/>
        <v>2.2052</v>
      </c>
      <c r="M41" s="58">
        <f t="shared" si="28"/>
        <v>2.2050000000000001</v>
      </c>
      <c r="N41" s="58">
        <f t="shared" si="29"/>
        <v>-1.9999999999997797E-4</v>
      </c>
      <c r="O41" s="58">
        <f t="shared" si="30"/>
        <v>1.9999999999997797E-4</v>
      </c>
      <c r="P41" s="58"/>
      <c r="Q41" s="84">
        <v>19.75</v>
      </c>
      <c r="R41" s="84">
        <v>19.75</v>
      </c>
      <c r="S41" s="84">
        <v>19.75</v>
      </c>
      <c r="T41" s="84">
        <v>19.75</v>
      </c>
      <c r="U41" s="84">
        <v>19.75</v>
      </c>
      <c r="V41" s="84">
        <v>19.75</v>
      </c>
      <c r="W41" s="84">
        <v>19.75</v>
      </c>
      <c r="X41" s="84">
        <v>19.75</v>
      </c>
      <c r="Y41" s="58">
        <f>AVERAGE(C41,C45)-AVERAGE(C$40,C$46)</f>
        <v>-1.9999999999953388E-4</v>
      </c>
      <c r="Z41" s="58">
        <f t="shared" ref="Z41:AF41" si="32">AVERAGE(D41,D45)-AVERAGE(D$40,D$46)</f>
        <v>-1.9999999999953388E-4</v>
      </c>
      <c r="AA41" s="58">
        <f t="shared" si="32"/>
        <v>0</v>
      </c>
      <c r="AB41" s="58">
        <f t="shared" si="32"/>
        <v>-1.2499999999970868E-4</v>
      </c>
      <c r="AC41" s="58">
        <f t="shared" si="32"/>
        <v>-1.2499999999970868E-4</v>
      </c>
      <c r="AD41" s="58">
        <f t="shared" si="32"/>
        <v>-1.7500000000048033E-4</v>
      </c>
      <c r="AE41" s="58">
        <f t="shared" si="32"/>
        <v>-7.4999999999825206E-5</v>
      </c>
      <c r="AF41" s="58">
        <f t="shared" si="32"/>
        <v>-1.7500000000003624E-4</v>
      </c>
    </row>
    <row r="42" spans="1:33" s="9" customFormat="1">
      <c r="A42" s="84"/>
      <c r="B42" s="84">
        <v>45</v>
      </c>
      <c r="C42" s="58">
        <v>2.2048000000000001</v>
      </c>
      <c r="D42" s="58">
        <v>2.2048000000000001</v>
      </c>
      <c r="E42" s="58">
        <v>2.2049500000000002</v>
      </c>
      <c r="F42" s="58">
        <v>2.2048000000000001</v>
      </c>
      <c r="G42" s="58">
        <v>2.20485</v>
      </c>
      <c r="H42" s="58">
        <v>2.2048000000000001</v>
      </c>
      <c r="I42" s="58">
        <v>2.2048000000000001</v>
      </c>
      <c r="J42" s="58">
        <v>2.2048000000000001</v>
      </c>
      <c r="K42" s="58">
        <f t="shared" si="26"/>
        <v>2.2048000000000001</v>
      </c>
      <c r="L42" s="58">
        <f t="shared" si="27"/>
        <v>2.2049500000000002</v>
      </c>
      <c r="M42" s="58">
        <f t="shared" si="28"/>
        <v>2.2048000000000001</v>
      </c>
      <c r="N42" s="58">
        <f t="shared" si="29"/>
        <v>0</v>
      </c>
      <c r="O42" s="58">
        <f t="shared" si="30"/>
        <v>1.500000000000945E-4</v>
      </c>
      <c r="P42" s="58"/>
      <c r="Q42" s="84">
        <v>45</v>
      </c>
      <c r="R42" s="84">
        <v>45</v>
      </c>
      <c r="S42" s="84">
        <v>45</v>
      </c>
      <c r="T42" s="84">
        <v>45</v>
      </c>
      <c r="U42" s="84">
        <v>45</v>
      </c>
      <c r="V42" s="84">
        <v>45</v>
      </c>
      <c r="W42" s="84">
        <v>45</v>
      </c>
      <c r="X42" s="84">
        <v>45</v>
      </c>
      <c r="Y42" s="58">
        <f>AVERAGE(C42,C44)-AVERAGE(C$40,C$46)</f>
        <v>-3.9999999999995595E-4</v>
      </c>
      <c r="Z42" s="58">
        <f t="shared" ref="Z42:AF42" si="33">AVERAGE(D42,D44)-AVERAGE(D$40,D$46)</f>
        <v>-4.4999999999983942E-4</v>
      </c>
      <c r="AA42" s="58">
        <f t="shared" si="33"/>
        <v>-1.2499999999970868E-4</v>
      </c>
      <c r="AB42" s="58">
        <f t="shared" si="33"/>
        <v>-3.7500000000001421E-4</v>
      </c>
      <c r="AC42" s="58">
        <f t="shared" si="33"/>
        <v>-2.250000000003638E-4</v>
      </c>
      <c r="AD42" s="58">
        <f t="shared" si="33"/>
        <v>-4.7500000000022524E-4</v>
      </c>
      <c r="AE42" s="58">
        <f t="shared" si="33"/>
        <v>-2.4999999999986144E-4</v>
      </c>
      <c r="AF42" s="58">
        <f t="shared" si="33"/>
        <v>-2.250000000003638E-4</v>
      </c>
    </row>
    <row r="43" spans="1:33" s="9" customFormat="1">
      <c r="A43" s="84"/>
      <c r="B43" s="84">
        <v>90</v>
      </c>
      <c r="C43" s="58">
        <v>2.2046000000000001</v>
      </c>
      <c r="D43" s="58">
        <v>2.2046000000000001</v>
      </c>
      <c r="E43" s="58">
        <v>2.2048000000000001</v>
      </c>
      <c r="F43" s="58">
        <v>2.2046000000000001</v>
      </c>
      <c r="G43" s="58">
        <v>2.2047500000000002</v>
      </c>
      <c r="H43" s="58">
        <v>2.2046999999999999</v>
      </c>
      <c r="I43" s="58">
        <v>2.2046999999999999</v>
      </c>
      <c r="J43" s="58">
        <v>2.2046000000000001</v>
      </c>
      <c r="K43" s="58">
        <f t="shared" si="26"/>
        <v>2.2046000000000001</v>
      </c>
      <c r="L43" s="58">
        <f t="shared" si="27"/>
        <v>2.2048000000000001</v>
      </c>
      <c r="M43" s="58">
        <f t="shared" si="28"/>
        <v>2.2046000000000001</v>
      </c>
      <c r="N43" s="58">
        <f t="shared" si="29"/>
        <v>0</v>
      </c>
      <c r="O43" s="58">
        <f t="shared" si="30"/>
        <v>1.9999999999997797E-4</v>
      </c>
      <c r="P43" s="58"/>
      <c r="Q43" s="84">
        <v>90</v>
      </c>
      <c r="R43" s="84">
        <v>90</v>
      </c>
      <c r="S43" s="84">
        <v>90</v>
      </c>
      <c r="T43" s="84">
        <v>90</v>
      </c>
      <c r="U43" s="84">
        <v>90</v>
      </c>
      <c r="V43" s="84">
        <v>90</v>
      </c>
      <c r="W43" s="84">
        <v>90</v>
      </c>
      <c r="X43" s="84">
        <v>90</v>
      </c>
      <c r="Y43" s="58">
        <f>C43-AVERAGE(C$40,C$46)</f>
        <v>-4.9999999999972289E-4</v>
      </c>
      <c r="Z43" s="58">
        <f t="shared" ref="Z43:AF43" si="34">D43-AVERAGE(D$40,D$46)</f>
        <v>-5.4999999999960636E-4</v>
      </c>
      <c r="AA43" s="58">
        <f t="shared" si="34"/>
        <v>-1.9999999999997797E-4</v>
      </c>
      <c r="AB43" s="58">
        <f t="shared" si="34"/>
        <v>-5.2499999999966462E-4</v>
      </c>
      <c r="AC43" s="58">
        <f t="shared" si="34"/>
        <v>-2.4999999999986144E-4</v>
      </c>
      <c r="AD43" s="58">
        <f t="shared" si="34"/>
        <v>-5.7500000000043627E-4</v>
      </c>
      <c r="AE43" s="58">
        <f t="shared" si="34"/>
        <v>-3.5000000000007248E-4</v>
      </c>
      <c r="AF43" s="58">
        <f t="shared" si="34"/>
        <v>-3.7500000000001421E-4</v>
      </c>
    </row>
    <row r="44" spans="1:33" s="9" customFormat="1">
      <c r="A44" s="84"/>
      <c r="B44" s="84">
        <v>135</v>
      </c>
      <c r="C44" s="58">
        <v>2.2046000000000001</v>
      </c>
      <c r="D44" s="58">
        <v>2.2046000000000001</v>
      </c>
      <c r="E44" s="58">
        <v>2.2048000000000001</v>
      </c>
      <c r="F44" s="58">
        <v>2.2046999999999999</v>
      </c>
      <c r="G44" s="58">
        <v>2.2046999999999999</v>
      </c>
      <c r="H44" s="58">
        <v>2.2048000000000001</v>
      </c>
      <c r="I44" s="58">
        <v>2.2048000000000001</v>
      </c>
      <c r="J44" s="58">
        <v>2.2046999999999999</v>
      </c>
      <c r="K44" s="58">
        <f t="shared" si="26"/>
        <v>2.2046000000000001</v>
      </c>
      <c r="L44" s="58">
        <f t="shared" si="27"/>
        <v>2.2048000000000001</v>
      </c>
      <c r="M44" s="58">
        <f t="shared" si="28"/>
        <v>2.2048000000000001</v>
      </c>
      <c r="N44" s="58">
        <f t="shared" si="29"/>
        <v>-1.9999999999997797E-4</v>
      </c>
      <c r="O44" s="58">
        <f t="shared" si="30"/>
        <v>0</v>
      </c>
      <c r="P44" s="58"/>
      <c r="Q44" s="84">
        <v>135</v>
      </c>
      <c r="R44" s="84">
        <v>135</v>
      </c>
      <c r="S44" s="84">
        <v>135</v>
      </c>
      <c r="T44" s="84">
        <v>135</v>
      </c>
      <c r="U44" s="84">
        <v>135</v>
      </c>
      <c r="V44" s="84">
        <v>135</v>
      </c>
      <c r="W44" s="84">
        <v>135</v>
      </c>
      <c r="X44" s="84">
        <v>135</v>
      </c>
      <c r="Y44" s="58">
        <f>AVERAGE(C42,C44)-AVERAGE(C$40,C$46)</f>
        <v>-3.9999999999995595E-4</v>
      </c>
      <c r="Z44" s="58">
        <f t="shared" ref="Z44:AF44" si="35">AVERAGE(D42,D44)-AVERAGE(D$40,D$46)</f>
        <v>-4.4999999999983942E-4</v>
      </c>
      <c r="AA44" s="58">
        <f t="shared" si="35"/>
        <v>-1.2499999999970868E-4</v>
      </c>
      <c r="AB44" s="58">
        <f t="shared" si="35"/>
        <v>-3.7500000000001421E-4</v>
      </c>
      <c r="AC44" s="58">
        <f t="shared" si="35"/>
        <v>-2.250000000003638E-4</v>
      </c>
      <c r="AD44" s="58">
        <f t="shared" si="35"/>
        <v>-4.7500000000022524E-4</v>
      </c>
      <c r="AE44" s="58">
        <f t="shared" si="35"/>
        <v>-2.4999999999986144E-4</v>
      </c>
      <c r="AF44" s="58">
        <f t="shared" si="35"/>
        <v>-2.250000000003638E-4</v>
      </c>
    </row>
    <row r="45" spans="1:33" s="9" customFormat="1">
      <c r="A45" s="84"/>
      <c r="B45" s="84">
        <v>160.25</v>
      </c>
      <c r="C45" s="58">
        <v>2.2048000000000001</v>
      </c>
      <c r="D45" s="58">
        <v>2.2048999999999999</v>
      </c>
      <c r="E45" s="58">
        <v>2.2050000000000001</v>
      </c>
      <c r="F45" s="58">
        <v>2.2050000000000001</v>
      </c>
      <c r="G45" s="58">
        <v>2.2048000000000001</v>
      </c>
      <c r="H45" s="58">
        <v>2.2050000000000001</v>
      </c>
      <c r="I45" s="58">
        <v>2.2049500000000002</v>
      </c>
      <c r="J45" s="58">
        <v>2.2048000000000001</v>
      </c>
      <c r="K45" s="58">
        <f t="shared" si="26"/>
        <v>2.2048000000000001</v>
      </c>
      <c r="L45" s="58">
        <f t="shared" si="27"/>
        <v>2.2050000000000001</v>
      </c>
      <c r="M45" s="58">
        <f t="shared" si="28"/>
        <v>2.2048000000000001</v>
      </c>
      <c r="N45" s="58">
        <f t="shared" si="29"/>
        <v>0</v>
      </c>
      <c r="O45" s="58">
        <f t="shared" si="30"/>
        <v>1.9999999999997797E-4</v>
      </c>
      <c r="P45" s="58"/>
      <c r="Q45" s="84">
        <v>160.25</v>
      </c>
      <c r="R45" s="84">
        <v>160.25</v>
      </c>
      <c r="S45" s="84">
        <v>160.25</v>
      </c>
      <c r="T45" s="84">
        <v>160.25</v>
      </c>
      <c r="U45" s="84">
        <v>160.25</v>
      </c>
      <c r="V45" s="84">
        <v>160.25</v>
      </c>
      <c r="W45" s="84">
        <v>160.25</v>
      </c>
      <c r="X45" s="84">
        <v>160.25</v>
      </c>
      <c r="Y45" s="58">
        <f>AVERAGE(C41,C45)-AVERAGE(C$40,C$46)</f>
        <v>-1.9999999999953388E-4</v>
      </c>
      <c r="Z45" s="58">
        <f t="shared" ref="Z45:AF45" si="36">AVERAGE(D41,D45)-AVERAGE(D$40,D$46)</f>
        <v>-1.9999999999953388E-4</v>
      </c>
      <c r="AA45" s="58">
        <f t="shared" si="36"/>
        <v>0</v>
      </c>
      <c r="AB45" s="58">
        <f t="shared" si="36"/>
        <v>-1.2499999999970868E-4</v>
      </c>
      <c r="AC45" s="58">
        <f t="shared" si="36"/>
        <v>-1.2499999999970868E-4</v>
      </c>
      <c r="AD45" s="58">
        <f t="shared" si="36"/>
        <v>-1.7500000000048033E-4</v>
      </c>
      <c r="AE45" s="58">
        <f t="shared" si="36"/>
        <v>-7.4999999999825206E-5</v>
      </c>
      <c r="AF45" s="58">
        <f t="shared" si="36"/>
        <v>-1.7500000000003624E-4</v>
      </c>
    </row>
    <row r="46" spans="1:33" s="9" customFormat="1">
      <c r="A46" s="84"/>
      <c r="B46" s="84">
        <v>175</v>
      </c>
      <c r="C46" s="58">
        <v>2.2050999999999998</v>
      </c>
      <c r="D46" s="58">
        <v>2.2052</v>
      </c>
      <c r="E46" s="58">
        <v>2.2050000000000001</v>
      </c>
      <c r="F46" s="58">
        <v>2.2051500000000002</v>
      </c>
      <c r="G46" s="58">
        <v>2.2050000000000001</v>
      </c>
      <c r="H46" s="58">
        <v>2.2052</v>
      </c>
      <c r="I46" s="58">
        <v>2.2050999999999998</v>
      </c>
      <c r="J46" s="58">
        <v>2.2049500000000002</v>
      </c>
      <c r="K46" s="58">
        <f t="shared" si="26"/>
        <v>2.2049500000000002</v>
      </c>
      <c r="L46" s="58">
        <f t="shared" si="27"/>
        <v>2.2052</v>
      </c>
      <c r="M46" s="58">
        <f t="shared" si="28"/>
        <v>2.2050999999999998</v>
      </c>
      <c r="N46" s="58">
        <f t="shared" si="29"/>
        <v>-1.4999999999965041E-4</v>
      </c>
      <c r="O46" s="58">
        <f t="shared" si="30"/>
        <v>1.0000000000021103E-4</v>
      </c>
      <c r="P46" s="58"/>
      <c r="Q46" s="84">
        <v>175</v>
      </c>
      <c r="R46" s="84">
        <v>175</v>
      </c>
      <c r="S46" s="84">
        <v>175</v>
      </c>
      <c r="T46" s="84">
        <v>175</v>
      </c>
      <c r="U46" s="84">
        <v>175</v>
      </c>
      <c r="V46" s="84">
        <v>175</v>
      </c>
      <c r="W46" s="84">
        <v>175</v>
      </c>
      <c r="X46" s="84">
        <v>175</v>
      </c>
      <c r="Y46" s="58">
        <f>AVERAGE(C40,C46)-AVERAGE(C$40,C$46)</f>
        <v>0</v>
      </c>
      <c r="Z46" s="58">
        <f t="shared" ref="Z46:AF46" si="37">AVERAGE(D40,D46)-AVERAGE(D$40,D$46)</f>
        <v>0</v>
      </c>
      <c r="AA46" s="58">
        <f t="shared" si="37"/>
        <v>0</v>
      </c>
      <c r="AB46" s="58">
        <f t="shared" si="37"/>
        <v>0</v>
      </c>
      <c r="AC46" s="58">
        <f t="shared" si="37"/>
        <v>0</v>
      </c>
      <c r="AD46" s="58">
        <f t="shared" si="37"/>
        <v>0</v>
      </c>
      <c r="AE46" s="58">
        <f t="shared" si="37"/>
        <v>0</v>
      </c>
      <c r="AF46" s="58">
        <f t="shared" si="37"/>
        <v>0</v>
      </c>
    </row>
    <row r="47" spans="1:33" s="9" customFormat="1">
      <c r="P47" s="9" t="s">
        <v>367</v>
      </c>
      <c r="Q47" s="84">
        <v>5</v>
      </c>
      <c r="R47" s="84">
        <v>5</v>
      </c>
      <c r="S47" s="84">
        <v>5</v>
      </c>
      <c r="T47" s="84">
        <v>5</v>
      </c>
      <c r="U47" s="84">
        <v>5</v>
      </c>
      <c r="V47" s="84">
        <v>5</v>
      </c>
      <c r="W47" s="84">
        <v>5</v>
      </c>
      <c r="X47" s="84">
        <v>5</v>
      </c>
      <c r="Y47" s="58">
        <f>Y40-'Connecting Rod Bolts'!$AG34</f>
        <v>0</v>
      </c>
      <c r="Z47" s="58">
        <f>Z40-'Connecting Rod Bolts'!$AG34</f>
        <v>0</v>
      </c>
      <c r="AA47" s="58">
        <f>AA40-'Connecting Rod Bolts'!$AG34</f>
        <v>0</v>
      </c>
      <c r="AB47" s="58">
        <f>AB40-'Connecting Rod Bolts'!$AG34</f>
        <v>0</v>
      </c>
      <c r="AC47" s="58">
        <f>AC40-'Connecting Rod Bolts'!$AG34</f>
        <v>0</v>
      </c>
      <c r="AD47" s="58">
        <f>AD40-'Connecting Rod Bolts'!$AG34</f>
        <v>0</v>
      </c>
      <c r="AE47" s="58">
        <f>AE40-'Connecting Rod Bolts'!$AG34</f>
        <v>0</v>
      </c>
      <c r="AF47" s="58">
        <f>AF40-'Connecting Rod Bolts'!$AG34</f>
        <v>0</v>
      </c>
      <c r="AG47" s="9" t="s">
        <v>367</v>
      </c>
    </row>
    <row r="48" spans="1:33" s="9" customFormat="1">
      <c r="P48" s="9" t="s">
        <v>367</v>
      </c>
      <c r="Q48" s="84">
        <v>19.75</v>
      </c>
      <c r="R48" s="84">
        <v>19.75</v>
      </c>
      <c r="S48" s="84">
        <v>19.75</v>
      </c>
      <c r="T48" s="84">
        <v>19.75</v>
      </c>
      <c r="U48" s="84">
        <v>19.75</v>
      </c>
      <c r="V48" s="84">
        <v>19.75</v>
      </c>
      <c r="W48" s="84">
        <v>19.75</v>
      </c>
      <c r="X48" s="84">
        <v>19.75</v>
      </c>
      <c r="Y48" s="58">
        <f>Y41-'Connecting Rod Bolts'!$AG35</f>
        <v>-1.5937499999940652E-4</v>
      </c>
      <c r="Z48" s="58">
        <f>Z41-'Connecting Rod Bolts'!$AG35</f>
        <v>-1.5937499999940652E-4</v>
      </c>
      <c r="AA48" s="58">
        <f>AA41-'Connecting Rod Bolts'!$AG35</f>
        <v>4.0625000000127365E-5</v>
      </c>
      <c r="AB48" s="58">
        <f>AB41-'Connecting Rod Bolts'!$AG35</f>
        <v>-8.4374999999581313E-5</v>
      </c>
      <c r="AC48" s="58">
        <f>AC41-'Connecting Rod Bolts'!$AG35</f>
        <v>-8.4374999999581313E-5</v>
      </c>
      <c r="AD48" s="58">
        <f>AD41-'Connecting Rod Bolts'!$AG35</f>
        <v>-1.3437500000035296E-4</v>
      </c>
      <c r="AE48" s="58">
        <f>AE41-'Connecting Rod Bolts'!$AG35</f>
        <v>-3.4374999999697842E-5</v>
      </c>
      <c r="AF48" s="58">
        <f>AF41-'Connecting Rod Bolts'!$AG35</f>
        <v>-1.3437499999990887E-4</v>
      </c>
      <c r="AG48" s="9" t="s">
        <v>367</v>
      </c>
    </row>
    <row r="49" spans="1:33" s="9" customFormat="1">
      <c r="P49" s="9" t="s">
        <v>367</v>
      </c>
      <c r="Q49" s="84">
        <v>45</v>
      </c>
      <c r="R49" s="84">
        <v>45</v>
      </c>
      <c r="S49" s="84">
        <v>45</v>
      </c>
      <c r="T49" s="84">
        <v>45</v>
      </c>
      <c r="U49" s="84">
        <v>45</v>
      </c>
      <c r="V49" s="84">
        <v>45</v>
      </c>
      <c r="W49" s="84">
        <v>45</v>
      </c>
      <c r="X49" s="84">
        <v>45</v>
      </c>
      <c r="Y49" s="58">
        <f>Y42-'Connecting Rod Bolts'!$AG36</f>
        <v>-2.4687499999997975E-4</v>
      </c>
      <c r="Z49" s="58">
        <f>Z42-'Connecting Rod Bolts'!$AG36</f>
        <v>-2.9687499999986322E-4</v>
      </c>
      <c r="AA49" s="58">
        <f>AA42-'Connecting Rod Bolts'!$AG36</f>
        <v>2.8125000000267519E-5</v>
      </c>
      <c r="AB49" s="58">
        <f>AB42-'Connecting Rod Bolts'!$AG36</f>
        <v>-2.2187500000003801E-4</v>
      </c>
      <c r="AC49" s="58">
        <f>AC42-'Connecting Rod Bolts'!$AG36</f>
        <v>-7.1875000000387601E-5</v>
      </c>
      <c r="AD49" s="58">
        <f>AD42-'Connecting Rod Bolts'!$AG36</f>
        <v>-3.2187500000024905E-4</v>
      </c>
      <c r="AE49" s="58">
        <f>AE42-'Connecting Rod Bolts'!$AG36</f>
        <v>-9.6874999999885247E-5</v>
      </c>
      <c r="AF49" s="58">
        <f>AF42-'Connecting Rod Bolts'!$AG36</f>
        <v>-7.1875000000387601E-5</v>
      </c>
      <c r="AG49" s="9" t="s">
        <v>367</v>
      </c>
    </row>
    <row r="50" spans="1:33" s="9" customFormat="1">
      <c r="P50" s="9" t="s">
        <v>367</v>
      </c>
      <c r="Q50" s="84">
        <v>90</v>
      </c>
      <c r="R50" s="84">
        <v>90</v>
      </c>
      <c r="S50" s="84">
        <v>90</v>
      </c>
      <c r="T50" s="84">
        <v>90</v>
      </c>
      <c r="U50" s="84">
        <v>90</v>
      </c>
      <c r="V50" s="84">
        <v>90</v>
      </c>
      <c r="W50" s="84">
        <v>90</v>
      </c>
      <c r="X50" s="84">
        <v>90</v>
      </c>
      <c r="Y50" s="58">
        <f>Y43-'Connecting Rod Bolts'!$AG37</f>
        <v>-2.7499999999974767E-4</v>
      </c>
      <c r="Z50" s="58">
        <f>Z43-'Connecting Rod Bolts'!$AG37</f>
        <v>-3.2499999999963114E-4</v>
      </c>
      <c r="AA50" s="58">
        <f>AA43-'Connecting Rod Bolts'!$AG37</f>
        <v>2.4999999999997247E-5</v>
      </c>
      <c r="AB50" s="58">
        <f>AB43-'Connecting Rod Bolts'!$AG37</f>
        <v>-2.999999999996894E-4</v>
      </c>
      <c r="AC50" s="58">
        <f>AC43-'Connecting Rod Bolts'!$AG37</f>
        <v>-2.4999999999886224E-5</v>
      </c>
      <c r="AD50" s="58">
        <f>AD43-'Connecting Rod Bolts'!$AG37</f>
        <v>-3.5000000000046105E-4</v>
      </c>
      <c r="AE50" s="58">
        <f>AE43-'Connecting Rod Bolts'!$AG37</f>
        <v>-1.2500000000009726E-4</v>
      </c>
      <c r="AF50" s="58">
        <f>AF43-'Connecting Rod Bolts'!$AG37</f>
        <v>-1.5000000000003899E-4</v>
      </c>
      <c r="AG50" s="9" t="s">
        <v>367</v>
      </c>
    </row>
    <row r="51" spans="1:33" s="9" customFormat="1">
      <c r="P51" s="9" t="s">
        <v>367</v>
      </c>
      <c r="Q51" s="84">
        <v>135</v>
      </c>
      <c r="R51" s="84">
        <v>135</v>
      </c>
      <c r="S51" s="84">
        <v>135</v>
      </c>
      <c r="T51" s="84">
        <v>135</v>
      </c>
      <c r="U51" s="84">
        <v>135</v>
      </c>
      <c r="V51" s="84">
        <v>135</v>
      </c>
      <c r="W51" s="84">
        <v>135</v>
      </c>
      <c r="X51" s="84">
        <v>135</v>
      </c>
      <c r="Y51" s="58">
        <f>Y44-'Connecting Rod Bolts'!$AG38</f>
        <v>-2.4687499999997975E-4</v>
      </c>
      <c r="Z51" s="58">
        <f>Z44-'Connecting Rod Bolts'!$AG38</f>
        <v>-2.9687499999986322E-4</v>
      </c>
      <c r="AA51" s="58">
        <f>AA44-'Connecting Rod Bolts'!$AG38</f>
        <v>2.8125000000267519E-5</v>
      </c>
      <c r="AB51" s="58">
        <f>AB44-'Connecting Rod Bolts'!$AG38</f>
        <v>-2.2187500000003801E-4</v>
      </c>
      <c r="AC51" s="58">
        <f>AC44-'Connecting Rod Bolts'!$AG38</f>
        <v>-7.1875000000387601E-5</v>
      </c>
      <c r="AD51" s="58">
        <f>AD44-'Connecting Rod Bolts'!$AG38</f>
        <v>-3.2187500000024905E-4</v>
      </c>
      <c r="AE51" s="58">
        <f>AE44-'Connecting Rod Bolts'!$AG38</f>
        <v>-9.6874999999885247E-5</v>
      </c>
      <c r="AF51" s="58">
        <f>AF44-'Connecting Rod Bolts'!$AG38</f>
        <v>-7.1875000000387601E-5</v>
      </c>
      <c r="AG51" s="9" t="s">
        <v>367</v>
      </c>
    </row>
    <row r="52" spans="1:33" s="9" customFormat="1">
      <c r="P52" s="9" t="s">
        <v>367</v>
      </c>
      <c r="Q52" s="84">
        <v>160.25</v>
      </c>
      <c r="R52" s="84">
        <v>160.25</v>
      </c>
      <c r="S52" s="84">
        <v>160.25</v>
      </c>
      <c r="T52" s="84">
        <v>160.25</v>
      </c>
      <c r="U52" s="84">
        <v>160.25</v>
      </c>
      <c r="V52" s="84">
        <v>160.25</v>
      </c>
      <c r="W52" s="84">
        <v>160.25</v>
      </c>
      <c r="X52" s="84">
        <v>160.25</v>
      </c>
      <c r="Y52" s="58">
        <f>Y45-'Connecting Rod Bolts'!$AG39</f>
        <v>-1.5937499999940652E-4</v>
      </c>
      <c r="Z52" s="58">
        <f>Z45-'Connecting Rod Bolts'!$AG39</f>
        <v>-1.5937499999940652E-4</v>
      </c>
      <c r="AA52" s="58">
        <f>AA45-'Connecting Rod Bolts'!$AG39</f>
        <v>4.0625000000127365E-5</v>
      </c>
      <c r="AB52" s="58">
        <f>AB45-'Connecting Rod Bolts'!$AG39</f>
        <v>-8.4374999999581313E-5</v>
      </c>
      <c r="AC52" s="58">
        <f>AC45-'Connecting Rod Bolts'!$AG39</f>
        <v>-8.4374999999581313E-5</v>
      </c>
      <c r="AD52" s="58">
        <f>AD45-'Connecting Rod Bolts'!$AG39</f>
        <v>-1.3437500000035296E-4</v>
      </c>
      <c r="AE52" s="58">
        <f>AE45-'Connecting Rod Bolts'!$AG39</f>
        <v>-3.4374999999697842E-5</v>
      </c>
      <c r="AF52" s="58">
        <f>AF45-'Connecting Rod Bolts'!$AG39</f>
        <v>-1.3437499999990887E-4</v>
      </c>
      <c r="AG52" s="9" t="s">
        <v>367</v>
      </c>
    </row>
    <row r="53" spans="1:33" s="9" customFormat="1">
      <c r="A53" s="58"/>
      <c r="C53" s="83"/>
      <c r="D53" s="83"/>
      <c r="E53" s="83"/>
      <c r="F53" s="83"/>
      <c r="G53" s="83"/>
      <c r="H53" s="83"/>
      <c r="I53" s="83"/>
      <c r="J53" s="83"/>
      <c r="K53" s="58"/>
      <c r="L53" s="58"/>
      <c r="M53" s="58"/>
      <c r="N53" s="58"/>
      <c r="O53" s="58"/>
      <c r="P53" s="9" t="s">
        <v>367</v>
      </c>
      <c r="Q53" s="84">
        <v>175</v>
      </c>
      <c r="R53" s="84">
        <v>175</v>
      </c>
      <c r="S53" s="84">
        <v>175</v>
      </c>
      <c r="T53" s="84">
        <v>175</v>
      </c>
      <c r="U53" s="84">
        <v>175</v>
      </c>
      <c r="V53" s="84">
        <v>175</v>
      </c>
      <c r="W53" s="84">
        <v>175</v>
      </c>
      <c r="X53" s="84">
        <v>175</v>
      </c>
      <c r="Y53" s="58">
        <f>Y46-'Connecting Rod Bolts'!$AG40</f>
        <v>0</v>
      </c>
      <c r="Z53" s="58">
        <f>Z46-'Connecting Rod Bolts'!$AG40</f>
        <v>0</v>
      </c>
      <c r="AA53" s="58">
        <f>AA46-'Connecting Rod Bolts'!$AG40</f>
        <v>0</v>
      </c>
      <c r="AB53" s="58">
        <f>AB46-'Connecting Rod Bolts'!$AG40</f>
        <v>0</v>
      </c>
      <c r="AC53" s="58">
        <f>AC46-'Connecting Rod Bolts'!$AG40</f>
        <v>0</v>
      </c>
      <c r="AD53" s="58">
        <f>AD46-'Connecting Rod Bolts'!$AG40</f>
        <v>0</v>
      </c>
      <c r="AE53" s="58">
        <f>AE46-'Connecting Rod Bolts'!$AG40</f>
        <v>0</v>
      </c>
      <c r="AF53" s="58">
        <f>AF46-'Connecting Rod Bolts'!$AG40</f>
        <v>0</v>
      </c>
      <c r="AG53" s="9" t="s">
        <v>367</v>
      </c>
    </row>
    <row r="54" spans="1:33" s="9" customFormat="1">
      <c r="C54" s="83"/>
      <c r="D54" s="83"/>
      <c r="E54" s="83"/>
      <c r="F54" s="83"/>
      <c r="G54" s="83"/>
      <c r="H54" s="83"/>
      <c r="I54" s="83"/>
      <c r="J54" s="83"/>
      <c r="K54" s="58"/>
      <c r="L54" s="58"/>
      <c r="M54" s="58"/>
      <c r="N54" s="58"/>
      <c r="O54" s="58"/>
      <c r="Q54" s="84"/>
      <c r="R54" s="84"/>
      <c r="S54" s="84"/>
      <c r="T54" s="84"/>
      <c r="U54" s="84"/>
      <c r="V54" s="84"/>
      <c r="W54" s="84"/>
      <c r="X54" s="84"/>
      <c r="Y54" s="58"/>
      <c r="Z54" s="58"/>
      <c r="AA54" s="58"/>
      <c r="AB54" s="58"/>
      <c r="AC54" s="58"/>
      <c r="AD54" s="58"/>
      <c r="AE54" s="58"/>
      <c r="AF54" s="58"/>
    </row>
  </sheetData>
  <mergeCells count="3">
    <mergeCell ref="Y2:AF2"/>
    <mergeCell ref="Y19:AF19"/>
    <mergeCell ref="Y38:AF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Post-1 Tables</vt:lpstr>
      <vt:lpstr>Crankshaft History</vt:lpstr>
      <vt:lpstr>Crank-Main</vt:lpstr>
      <vt:lpstr>Rod Journals</vt:lpstr>
      <vt:lpstr>Connecting Rod Dimensions</vt:lpstr>
      <vt:lpstr>Connecting Rod Bolts</vt:lpstr>
      <vt:lpstr>OEM Rod Bolts</vt:lpstr>
      <vt:lpstr>ARP-2000 Rod Bolts</vt:lpstr>
      <vt:lpstr>ARP-625 Rod Bolts</vt:lpstr>
      <vt:lpstr>Carrillo WMC Rod Bolts</vt:lpstr>
      <vt:lpstr>Virgin 088_089</vt:lpstr>
      <vt:lpstr>Virgin 702_703</vt:lpstr>
      <vt:lpstr>BE Bearings Clevite</vt:lpstr>
      <vt:lpstr>ACL Bearings</vt:lpstr>
      <vt:lpstr>Virgin Calico</vt:lpstr>
      <vt:lpstr>Virgin VAC_Clevite</vt:lpstr>
      <vt:lpstr>Virgin WPC</vt:lpstr>
      <vt:lpstr>Rod Bearing History</vt:lpstr>
      <vt:lpstr>Sheet1</vt:lpstr>
      <vt:lpstr>BMW Parts Lists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Collins</dc:creator>
  <cp:lastModifiedBy>Robert Collins</cp:lastModifiedBy>
  <cp:revision>0</cp:revision>
  <dcterms:created xsi:type="dcterms:W3CDTF">2013-07-29T04:04:48Z</dcterms:created>
  <dcterms:modified xsi:type="dcterms:W3CDTF">2018-06-10T16:45:48Z</dcterms:modified>
</cp:coreProperties>
</file>